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InfiniTrader\Documents\Tencent Files\554288727\FileRecv\"/>
    </mc:Choice>
  </mc:AlternateContent>
  <xr:revisionPtr revIDLastSave="0" documentId="13_ncr:1_{BB122711-5AEF-4BBA-BEDC-E4AF82E15B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单品种多月价差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9" i="1" l="1" a="1"/>
  <c r="AT9" i="1" s="1"/>
  <c r="AD3" i="1" a="1"/>
  <c r="AD3" i="1" s="1"/>
  <c r="AE3" i="1" a="1"/>
  <c r="AE3" i="1" s="1"/>
  <c r="AF3" i="1" a="1"/>
  <c r="AF3" i="1" s="1"/>
  <c r="AG3" i="1" a="1"/>
  <c r="AG3" i="1"/>
  <c r="AH3" i="1" a="1"/>
  <c r="AH3" i="1" s="1"/>
  <c r="AI3" i="1" a="1"/>
  <c r="AI3" i="1" s="1"/>
  <c r="AJ3" i="1" a="1"/>
  <c r="AJ3" i="1" s="1"/>
  <c r="AK3" i="1" a="1"/>
  <c r="AK3" i="1" s="1"/>
  <c r="AL3" i="1" a="1"/>
  <c r="AL3" i="1" s="1"/>
  <c r="AM3" i="1" a="1"/>
  <c r="AM3" i="1"/>
  <c r="AN3" i="1" a="1"/>
  <c r="AN3" i="1" s="1"/>
  <c r="AO3" i="1" a="1"/>
  <c r="AO3" i="1" s="1"/>
  <c r="AP3" i="1" a="1"/>
  <c r="AP3" i="1" s="1"/>
  <c r="AQ3" i="1" a="1"/>
  <c r="AQ3" i="1" s="1"/>
  <c r="AR3" i="1" a="1"/>
  <c r="AR3" i="1" s="1"/>
  <c r="AS3" i="1" a="1"/>
  <c r="AS3" i="1"/>
  <c r="AT3" i="1" a="1"/>
  <c r="AT3" i="1" s="1"/>
  <c r="AU3" i="1" a="1"/>
  <c r="AU3" i="1" s="1"/>
  <c r="AV3" i="1" a="1"/>
  <c r="AV3" i="1" s="1"/>
  <c r="AW3" i="1" a="1"/>
  <c r="AW3" i="1" s="1"/>
  <c r="AX3" i="1" a="1"/>
  <c r="AX3" i="1" s="1"/>
  <c r="AY3" i="1" a="1"/>
  <c r="AY3" i="1"/>
  <c r="AZ3" i="1" a="1"/>
  <c r="AZ3" i="1"/>
  <c r="BA3" i="1" a="1"/>
  <c r="BA3" i="1"/>
  <c r="BB3" i="1" a="1"/>
  <c r="BB3" i="1" s="1"/>
  <c r="BC3" i="1" a="1"/>
  <c r="BC3" i="1" s="1"/>
  <c r="BK3" i="1" a="1"/>
  <c r="BK3" i="1" s="1"/>
  <c r="BL3" i="1" a="1"/>
  <c r="BL3" i="1"/>
  <c r="BM3" i="1" a="1"/>
  <c r="BM3" i="1" s="1"/>
  <c r="BN3" i="1" a="1"/>
  <c r="BN3" i="1" s="1"/>
  <c r="BO3" i="1" a="1"/>
  <c r="BO3" i="1" s="1"/>
  <c r="BP3" i="1" a="1"/>
  <c r="BP3" i="1" s="1"/>
  <c r="AD4" i="1" a="1"/>
  <c r="AD4" i="1" s="1"/>
  <c r="AE4" i="1" a="1"/>
  <c r="AE4" i="1"/>
  <c r="AF4" i="1" a="1"/>
  <c r="AF4" i="1" s="1"/>
  <c r="AG4" i="1" a="1"/>
  <c r="AG4" i="1" s="1"/>
  <c r="AH4" i="1" a="1"/>
  <c r="AH4" i="1" s="1"/>
  <c r="AI4" i="1" a="1"/>
  <c r="AI4" i="1" s="1"/>
  <c r="AJ4" i="1" a="1"/>
  <c r="AJ4" i="1" s="1"/>
  <c r="AK4" i="1" a="1"/>
  <c r="AK4" i="1"/>
  <c r="AL4" i="1" a="1"/>
  <c r="AL4" i="1" s="1"/>
  <c r="AM4" i="1" a="1"/>
  <c r="AM4" i="1" s="1"/>
  <c r="AN4" i="1" a="1"/>
  <c r="AN4" i="1" s="1"/>
  <c r="AO4" i="1" a="1"/>
  <c r="AO4" i="1" s="1"/>
  <c r="AP4" i="1" a="1"/>
  <c r="AP4" i="1" s="1"/>
  <c r="AQ4" i="1" a="1"/>
  <c r="AQ4" i="1"/>
  <c r="AR4" i="1" a="1"/>
  <c r="AR4" i="1" s="1"/>
  <c r="AS4" i="1" a="1"/>
  <c r="AS4" i="1" s="1"/>
  <c r="AT4" i="1" a="1"/>
  <c r="AT4" i="1" s="1"/>
  <c r="AU4" i="1" a="1"/>
  <c r="AU4" i="1" s="1"/>
  <c r="AV4" i="1" a="1"/>
  <c r="AV4" i="1" s="1"/>
  <c r="AW4" i="1" a="1"/>
  <c r="AW4" i="1"/>
  <c r="AX4" i="1" a="1"/>
  <c r="AX4" i="1" s="1"/>
  <c r="AY4" i="1" a="1"/>
  <c r="AY4" i="1" s="1"/>
  <c r="AZ4" i="1" a="1"/>
  <c r="AZ4" i="1"/>
  <c r="BA4" i="1" a="1"/>
  <c r="BA4" i="1"/>
  <c r="BB4" i="1" a="1"/>
  <c r="BB4" i="1" s="1"/>
  <c r="BC4" i="1" a="1"/>
  <c r="BC4" i="1"/>
  <c r="BK4" i="1" a="1"/>
  <c r="BK4" i="1" s="1"/>
  <c r="BL4" i="1" a="1"/>
  <c r="BL4" i="1" s="1"/>
  <c r="BM4" i="1" a="1"/>
  <c r="BM4" i="1" s="1"/>
  <c r="BN4" i="1" a="1"/>
  <c r="BN4" i="1" s="1"/>
  <c r="BO4" i="1" a="1"/>
  <c r="BO4" i="1" s="1"/>
  <c r="BP4" i="1" a="1"/>
  <c r="BP4" i="1"/>
  <c r="AD5" i="1" a="1"/>
  <c r="AD5" i="1" s="1"/>
  <c r="AE5" i="1" a="1"/>
  <c r="AE5" i="1" s="1"/>
  <c r="AF5" i="1" a="1"/>
  <c r="AF5" i="1" s="1"/>
  <c r="AG5" i="1" a="1"/>
  <c r="AG5" i="1" s="1"/>
  <c r="AH5" i="1" a="1"/>
  <c r="AH5" i="1" s="1"/>
  <c r="AI5" i="1" a="1"/>
  <c r="AI5" i="1"/>
  <c r="AJ5" i="1" a="1"/>
  <c r="AJ5" i="1" s="1"/>
  <c r="AK5" i="1" a="1"/>
  <c r="AK5" i="1" s="1"/>
  <c r="AL5" i="1" a="1"/>
  <c r="AL5" i="1" s="1"/>
  <c r="AM5" i="1" a="1"/>
  <c r="AM5" i="1" s="1"/>
  <c r="AN5" i="1" a="1"/>
  <c r="AN5" i="1" s="1"/>
  <c r="AO5" i="1" a="1"/>
  <c r="AO5" i="1"/>
  <c r="AP5" i="1" a="1"/>
  <c r="AP5" i="1" s="1"/>
  <c r="AQ5" i="1" a="1"/>
  <c r="AQ5" i="1" s="1"/>
  <c r="AR5" i="1" a="1"/>
  <c r="AR5" i="1" s="1"/>
  <c r="AS5" i="1" a="1"/>
  <c r="AS5" i="1" s="1"/>
  <c r="AT5" i="1" a="1"/>
  <c r="AT5" i="1" s="1"/>
  <c r="AU5" i="1" a="1"/>
  <c r="AU5" i="1"/>
  <c r="AV5" i="1" a="1"/>
  <c r="AV5" i="1" s="1"/>
  <c r="AW5" i="1" a="1"/>
  <c r="AW5" i="1" s="1"/>
  <c r="AX5" i="1" a="1"/>
  <c r="AX5" i="1" s="1"/>
  <c r="AY5" i="1" a="1"/>
  <c r="AY5" i="1" s="1"/>
  <c r="AZ5" i="1" a="1"/>
  <c r="AZ5" i="1"/>
  <c r="BA5" i="1" a="1"/>
  <c r="BA5" i="1"/>
  <c r="BB5" i="1" a="1"/>
  <c r="BB5" i="1" s="1"/>
  <c r="BC5" i="1" a="1"/>
  <c r="BC5" i="1" s="1"/>
  <c r="BK5" i="1" a="1"/>
  <c r="BK5" i="1" s="1"/>
  <c r="BL5" i="1" a="1"/>
  <c r="BL5" i="1" s="1"/>
  <c r="BM5" i="1" a="1"/>
  <c r="BM5" i="1" s="1"/>
  <c r="BN5" i="1" a="1"/>
  <c r="BN5" i="1"/>
  <c r="BO5" i="1" a="1"/>
  <c r="BO5" i="1" s="1"/>
  <c r="BP5" i="1" a="1"/>
  <c r="BP5" i="1" s="1"/>
  <c r="AD6" i="1" a="1"/>
  <c r="AD6" i="1" s="1"/>
  <c r="AE6" i="1" a="1"/>
  <c r="AE6" i="1" s="1"/>
  <c r="AF6" i="1" a="1"/>
  <c r="AF6" i="1" s="1"/>
  <c r="AG6" i="1" a="1"/>
  <c r="AG6" i="1"/>
  <c r="AH6" i="1" a="1"/>
  <c r="AH6" i="1" s="1"/>
  <c r="AI6" i="1" a="1"/>
  <c r="AI6" i="1" s="1"/>
  <c r="AJ6" i="1" a="1"/>
  <c r="AJ6" i="1" s="1"/>
  <c r="AK6" i="1" a="1"/>
  <c r="AK6" i="1" s="1"/>
  <c r="AL6" i="1" a="1"/>
  <c r="AL6" i="1" s="1"/>
  <c r="AM6" i="1" a="1"/>
  <c r="AM6" i="1"/>
  <c r="AN6" i="1" a="1"/>
  <c r="AN6" i="1" s="1"/>
  <c r="AO6" i="1" a="1"/>
  <c r="AO6" i="1" s="1"/>
  <c r="AP6" i="1" a="1"/>
  <c r="AP6" i="1" s="1"/>
  <c r="AQ6" i="1" a="1"/>
  <c r="AQ6" i="1" s="1"/>
  <c r="AR6" i="1" a="1"/>
  <c r="AR6" i="1" s="1"/>
  <c r="AS6" i="1" a="1"/>
  <c r="AS6" i="1"/>
  <c r="AT6" i="1" a="1"/>
  <c r="AT6" i="1" s="1"/>
  <c r="AU6" i="1" a="1"/>
  <c r="AU6" i="1" s="1"/>
  <c r="AV6" i="1" a="1"/>
  <c r="AV6" i="1" s="1"/>
  <c r="AW6" i="1" a="1"/>
  <c r="AW6" i="1" s="1"/>
  <c r="AX6" i="1" a="1"/>
  <c r="AX6" i="1" s="1"/>
  <c r="AY6" i="1" a="1"/>
  <c r="AY6" i="1"/>
  <c r="AZ6" i="1" a="1"/>
  <c r="AZ6" i="1"/>
  <c r="BA6" i="1" a="1"/>
  <c r="BA6" i="1"/>
  <c r="BB6" i="1" a="1"/>
  <c r="BB6" i="1" s="1"/>
  <c r="BC6" i="1" a="1"/>
  <c r="BC6" i="1" s="1"/>
  <c r="BK6" i="1" a="1"/>
  <c r="BK6" i="1" s="1"/>
  <c r="BL6" i="1" a="1"/>
  <c r="BL6" i="1"/>
  <c r="BM6" i="1" a="1"/>
  <c r="BM6" i="1" s="1"/>
  <c r="BN6" i="1" a="1"/>
  <c r="BN6" i="1" s="1"/>
  <c r="BO6" i="1" a="1"/>
  <c r="BO6" i="1" s="1"/>
  <c r="BP6" i="1" a="1"/>
  <c r="BP6" i="1" s="1"/>
  <c r="AD7" i="1" a="1"/>
  <c r="AD7" i="1" s="1"/>
  <c r="AE7" i="1" a="1"/>
  <c r="AE7" i="1"/>
  <c r="AF7" i="1" a="1"/>
  <c r="AF7" i="1" s="1"/>
  <c r="AG7" i="1" a="1"/>
  <c r="AG7" i="1" s="1"/>
  <c r="AH7" i="1" a="1"/>
  <c r="AH7" i="1" s="1"/>
  <c r="AI7" i="1" a="1"/>
  <c r="AI7" i="1" s="1"/>
  <c r="AJ7" i="1" a="1"/>
  <c r="AJ7" i="1" s="1"/>
  <c r="AK7" i="1" a="1"/>
  <c r="AK7" i="1"/>
  <c r="AL7" i="1" a="1"/>
  <c r="AL7" i="1" s="1"/>
  <c r="AM7" i="1" a="1"/>
  <c r="AM7" i="1" s="1"/>
  <c r="AN7" i="1" a="1"/>
  <c r="AN7" i="1" s="1"/>
  <c r="AO7" i="1" a="1"/>
  <c r="AO7" i="1" s="1"/>
  <c r="AP7" i="1" a="1"/>
  <c r="AP7" i="1" s="1"/>
  <c r="AQ7" i="1" a="1"/>
  <c r="AQ7" i="1"/>
  <c r="AR7" i="1" a="1"/>
  <c r="AR7" i="1" s="1"/>
  <c r="AS7" i="1" a="1"/>
  <c r="AS7" i="1" s="1"/>
  <c r="AT7" i="1" a="1"/>
  <c r="AT7" i="1" s="1"/>
  <c r="AU7" i="1" a="1"/>
  <c r="AU7" i="1" s="1"/>
  <c r="AV7" i="1" a="1"/>
  <c r="AV7" i="1" s="1"/>
  <c r="AW7" i="1" a="1"/>
  <c r="AW7" i="1"/>
  <c r="AX7" i="1" a="1"/>
  <c r="AX7" i="1" s="1"/>
  <c r="AY7" i="1" a="1"/>
  <c r="AY7" i="1" s="1"/>
  <c r="AZ7" i="1" a="1"/>
  <c r="AZ7" i="1"/>
  <c r="BA7" i="1" a="1"/>
  <c r="BA7" i="1"/>
  <c r="BB7" i="1" a="1"/>
  <c r="BB7" i="1" s="1"/>
  <c r="BC7" i="1" a="1"/>
  <c r="BC7" i="1"/>
  <c r="BK7" i="1" a="1"/>
  <c r="BK7" i="1" s="1"/>
  <c r="BL7" i="1" a="1"/>
  <c r="BL7" i="1" s="1"/>
  <c r="BM7" i="1" a="1"/>
  <c r="BM7" i="1" s="1"/>
  <c r="BN7" i="1" a="1"/>
  <c r="BN7" i="1" s="1"/>
  <c r="BO7" i="1" a="1"/>
  <c r="BO7" i="1" s="1"/>
  <c r="BP7" i="1" a="1"/>
  <c r="BP7" i="1"/>
  <c r="AD8" i="1" a="1"/>
  <c r="AD8" i="1" s="1"/>
  <c r="AE8" i="1" a="1"/>
  <c r="AE8" i="1" s="1"/>
  <c r="AF8" i="1" a="1"/>
  <c r="AF8" i="1" s="1"/>
  <c r="AG8" i="1" a="1"/>
  <c r="AG8" i="1" s="1"/>
  <c r="AH8" i="1" a="1"/>
  <c r="AH8" i="1" s="1"/>
  <c r="AI8" i="1" a="1"/>
  <c r="AI8" i="1"/>
  <c r="AJ8" i="1" a="1"/>
  <c r="AJ8" i="1" s="1"/>
  <c r="AK8" i="1" a="1"/>
  <c r="AK8" i="1" s="1"/>
  <c r="AL8" i="1" a="1"/>
  <c r="AL8" i="1" s="1"/>
  <c r="AM8" i="1" a="1"/>
  <c r="AM8" i="1" s="1"/>
  <c r="AN8" i="1" a="1"/>
  <c r="AN8" i="1" s="1"/>
  <c r="AO8" i="1" a="1"/>
  <c r="AO8" i="1"/>
  <c r="AP8" i="1" a="1"/>
  <c r="AP8" i="1" s="1"/>
  <c r="AQ8" i="1" a="1"/>
  <c r="AQ8" i="1" s="1"/>
  <c r="AR8" i="1" a="1"/>
  <c r="AR8" i="1" s="1"/>
  <c r="AS8" i="1" a="1"/>
  <c r="AS8" i="1" s="1"/>
  <c r="AT8" i="1" a="1"/>
  <c r="AT8" i="1" s="1"/>
  <c r="AU8" i="1" a="1"/>
  <c r="AU8" i="1"/>
  <c r="AV8" i="1" a="1"/>
  <c r="AV8" i="1" s="1"/>
  <c r="AW8" i="1" a="1"/>
  <c r="AW8" i="1" s="1"/>
  <c r="AX8" i="1" a="1"/>
  <c r="AX8" i="1" s="1"/>
  <c r="AY8" i="1" a="1"/>
  <c r="AY8" i="1" s="1"/>
  <c r="AZ8" i="1" a="1"/>
  <c r="AZ8" i="1"/>
  <c r="BA8" i="1" a="1"/>
  <c r="BA8" i="1"/>
  <c r="BB8" i="1" a="1"/>
  <c r="BB8" i="1" s="1"/>
  <c r="BC8" i="1" a="1"/>
  <c r="BC8" i="1" s="1"/>
  <c r="BK8" i="1" a="1"/>
  <c r="BK8" i="1" s="1"/>
  <c r="BL8" i="1" a="1"/>
  <c r="BL8" i="1" s="1"/>
  <c r="BM8" i="1" a="1"/>
  <c r="BM8" i="1" s="1"/>
  <c r="BN8" i="1" a="1"/>
  <c r="BN8" i="1"/>
  <c r="BO8" i="1" a="1"/>
  <c r="BO8" i="1" s="1"/>
  <c r="BP8" i="1" a="1"/>
  <c r="BP8" i="1" s="1"/>
  <c r="AD9" i="1" a="1"/>
  <c r="AD9" i="1" s="1"/>
  <c r="AE9" i="1" a="1"/>
  <c r="AE9" i="1" s="1"/>
  <c r="AF9" i="1" a="1"/>
  <c r="AF9" i="1" s="1"/>
  <c r="AG9" i="1" a="1"/>
  <c r="AG9" i="1"/>
  <c r="AH9" i="1" a="1"/>
  <c r="AH9" i="1" s="1"/>
  <c r="AI9" i="1" a="1"/>
  <c r="AI9" i="1" s="1"/>
  <c r="AJ9" i="1" a="1"/>
  <c r="AJ9" i="1" s="1"/>
  <c r="AK9" i="1" a="1"/>
  <c r="AK9" i="1" s="1"/>
  <c r="AL9" i="1" a="1"/>
  <c r="AL9" i="1" s="1"/>
  <c r="AM9" i="1" a="1"/>
  <c r="AM9" i="1"/>
  <c r="AN9" i="1" a="1"/>
  <c r="AN9" i="1" s="1"/>
  <c r="AO9" i="1" a="1"/>
  <c r="AO9" i="1" s="1"/>
  <c r="AP9" i="1" a="1"/>
  <c r="AP9" i="1" s="1"/>
  <c r="AQ9" i="1" a="1"/>
  <c r="AQ9" i="1" s="1"/>
  <c r="AR9" i="1" a="1"/>
  <c r="AR9" i="1" s="1"/>
  <c r="AS9" i="1" a="1"/>
  <c r="AS9" i="1"/>
  <c r="AU9" i="1" a="1"/>
  <c r="AU9" i="1" s="1"/>
  <c r="AV9" i="1" a="1"/>
  <c r="AV9" i="1" s="1"/>
  <c r="AW9" i="1" a="1"/>
  <c r="AW9" i="1" s="1"/>
  <c r="AX9" i="1" a="1"/>
  <c r="AX9" i="1" s="1"/>
  <c r="AY9" i="1" a="1"/>
  <c r="AY9" i="1"/>
  <c r="AZ9" i="1" a="1"/>
  <c r="AZ9" i="1"/>
  <c r="BA9" i="1" a="1"/>
  <c r="BA9" i="1"/>
  <c r="BB9" i="1" a="1"/>
  <c r="BB9" i="1" s="1"/>
  <c r="BC9" i="1" a="1"/>
  <c r="BC9" i="1" s="1"/>
  <c r="BK9" i="1" a="1"/>
  <c r="BK9" i="1" s="1"/>
  <c r="BL9" i="1" a="1"/>
  <c r="BL9" i="1"/>
  <c r="BM9" i="1" a="1"/>
  <c r="BM9" i="1" s="1"/>
  <c r="BN9" i="1" a="1"/>
  <c r="BN9" i="1" s="1"/>
  <c r="BO9" i="1" a="1"/>
  <c r="BO9" i="1" s="1"/>
  <c r="BP9" i="1" a="1"/>
  <c r="BP9" i="1" s="1"/>
  <c r="AD10" i="1" a="1"/>
  <c r="AD10" i="1" s="1"/>
  <c r="AE10" i="1" a="1"/>
  <c r="AE10" i="1"/>
  <c r="AF10" i="1" a="1"/>
  <c r="AF10" i="1" s="1"/>
  <c r="AG10" i="1" a="1"/>
  <c r="AG10" i="1" s="1"/>
  <c r="AH10" i="1" a="1"/>
  <c r="AH10" i="1" s="1"/>
  <c r="AI10" i="1" a="1"/>
  <c r="AI10" i="1" s="1"/>
  <c r="AJ10" i="1" a="1"/>
  <c r="AJ10" i="1" s="1"/>
  <c r="AK10" i="1" a="1"/>
  <c r="AK10" i="1"/>
  <c r="AL10" i="1" a="1"/>
  <c r="AL10" i="1" s="1"/>
  <c r="AM10" i="1" a="1"/>
  <c r="AM10" i="1" s="1"/>
  <c r="AN10" i="1" a="1"/>
  <c r="AN10" i="1" s="1"/>
  <c r="AO10" i="1" a="1"/>
  <c r="AO10" i="1" s="1"/>
  <c r="AP10" i="1" a="1"/>
  <c r="AP10" i="1" s="1"/>
  <c r="AQ10" i="1" a="1"/>
  <c r="AQ10" i="1"/>
  <c r="AR10" i="1" a="1"/>
  <c r="AR10" i="1" s="1"/>
  <c r="AS10" i="1" a="1"/>
  <c r="AS10" i="1" s="1"/>
  <c r="AT10" i="1" a="1"/>
  <c r="AT10" i="1" s="1"/>
  <c r="AU10" i="1" a="1"/>
  <c r="AU10" i="1" s="1"/>
  <c r="AV10" i="1" a="1"/>
  <c r="AV10" i="1" s="1"/>
  <c r="AW10" i="1" a="1"/>
  <c r="AW10" i="1"/>
  <c r="AX10" i="1" a="1"/>
  <c r="AX10" i="1" s="1"/>
  <c r="AY10" i="1" a="1"/>
  <c r="AY10" i="1" s="1"/>
  <c r="AZ10" i="1" a="1"/>
  <c r="AZ10" i="1"/>
  <c r="BA10" i="1" a="1"/>
  <c r="BA10" i="1"/>
  <c r="BB10" i="1" a="1"/>
  <c r="BB10" i="1" s="1"/>
  <c r="BC10" i="1" a="1"/>
  <c r="BC10" i="1"/>
  <c r="BK10" i="1" a="1"/>
  <c r="BK10" i="1" s="1"/>
  <c r="BL10" i="1" a="1"/>
  <c r="BL10" i="1" s="1"/>
  <c r="BM10" i="1" a="1"/>
  <c r="BM10" i="1" s="1"/>
  <c r="BN10" i="1" a="1"/>
  <c r="BN10" i="1" s="1"/>
  <c r="BO10" i="1" a="1"/>
  <c r="BO10" i="1" s="1"/>
  <c r="BP10" i="1" a="1"/>
  <c r="BP10" i="1"/>
  <c r="AD11" i="1" a="1"/>
  <c r="AD11" i="1" s="1"/>
  <c r="AE11" i="1" a="1"/>
  <c r="AE11" i="1" s="1"/>
  <c r="AF11" i="1" a="1"/>
  <c r="AF11" i="1" s="1"/>
  <c r="AG11" i="1" a="1"/>
  <c r="AG11" i="1" s="1"/>
  <c r="AH11" i="1" a="1"/>
  <c r="AH11" i="1" s="1"/>
  <c r="AI11" i="1" a="1"/>
  <c r="AI11" i="1"/>
  <c r="AJ11" i="1" a="1"/>
  <c r="AJ11" i="1" s="1"/>
  <c r="AK11" i="1" a="1"/>
  <c r="AK11" i="1" s="1"/>
  <c r="AL11" i="1" a="1"/>
  <c r="AL11" i="1" s="1"/>
  <c r="AM11" i="1" a="1"/>
  <c r="AM11" i="1" s="1"/>
  <c r="AN11" i="1" a="1"/>
  <c r="AN11" i="1" s="1"/>
  <c r="AO11" i="1" a="1"/>
  <c r="AO11" i="1"/>
  <c r="AP11" i="1" a="1"/>
  <c r="AP11" i="1" s="1"/>
  <c r="AQ11" i="1" a="1"/>
  <c r="AQ11" i="1" s="1"/>
  <c r="AR11" i="1" a="1"/>
  <c r="AR11" i="1" s="1"/>
  <c r="AS11" i="1" a="1"/>
  <c r="AS11" i="1" s="1"/>
  <c r="AT11" i="1" a="1"/>
  <c r="AT11" i="1" s="1"/>
  <c r="AU11" i="1" a="1"/>
  <c r="AU11" i="1"/>
  <c r="AV11" i="1" a="1"/>
  <c r="AV11" i="1" s="1"/>
  <c r="AW11" i="1" a="1"/>
  <c r="AW11" i="1" s="1"/>
  <c r="AX11" i="1" a="1"/>
  <c r="AX11" i="1" s="1"/>
  <c r="AY11" i="1" a="1"/>
  <c r="AY11" i="1" s="1"/>
  <c r="AZ11" i="1" a="1"/>
  <c r="AZ11" i="1"/>
  <c r="BA11" i="1" a="1"/>
  <c r="BA11" i="1"/>
  <c r="BB11" i="1" a="1"/>
  <c r="BB11" i="1" s="1"/>
  <c r="BC11" i="1" a="1"/>
  <c r="BC11" i="1" s="1"/>
  <c r="BK11" i="1" a="1"/>
  <c r="BK11" i="1" s="1"/>
  <c r="BL11" i="1" a="1"/>
  <c r="BL11" i="1" s="1"/>
  <c r="BM11" i="1" a="1"/>
  <c r="BM11" i="1" s="1"/>
  <c r="BN11" i="1" a="1"/>
  <c r="BN11" i="1"/>
  <c r="BO11" i="1" a="1"/>
  <c r="BO11" i="1" s="1"/>
  <c r="BP11" i="1" a="1"/>
  <c r="BP11" i="1" s="1"/>
  <c r="AD12" i="1" a="1"/>
  <c r="AD12" i="1" s="1"/>
  <c r="AE12" i="1" a="1"/>
  <c r="AE12" i="1" s="1"/>
  <c r="AF12" i="1" a="1"/>
  <c r="AF12" i="1" s="1"/>
  <c r="AG12" i="1" a="1"/>
  <c r="AG12" i="1"/>
  <c r="AH12" i="1" a="1"/>
  <c r="AH12" i="1" s="1"/>
  <c r="AI12" i="1" a="1"/>
  <c r="AI12" i="1"/>
  <c r="AJ12" i="1" a="1"/>
  <c r="AJ12" i="1"/>
  <c r="AK12" i="1" a="1"/>
  <c r="AK12" i="1"/>
  <c r="AL12" i="1" a="1"/>
  <c r="AL12" i="1"/>
  <c r="AM12" i="1" a="1"/>
  <c r="AM12" i="1"/>
  <c r="AN12" i="1" a="1"/>
  <c r="AN12" i="1" s="1"/>
  <c r="AO12" i="1" a="1"/>
  <c r="AO12" i="1"/>
  <c r="AP12" i="1" a="1"/>
  <c r="AP12" i="1"/>
  <c r="AQ12" i="1" a="1"/>
  <c r="AQ12" i="1"/>
  <c r="AR12" i="1" a="1"/>
  <c r="AR12" i="1"/>
  <c r="AS12" i="1" a="1"/>
  <c r="AS12" i="1"/>
  <c r="AT12" i="1" a="1"/>
  <c r="AT12" i="1" s="1"/>
  <c r="AU12" i="1" a="1"/>
  <c r="AU12" i="1"/>
  <c r="AV12" i="1" a="1"/>
  <c r="AV12" i="1"/>
  <c r="AW12" i="1" a="1"/>
  <c r="AW12" i="1"/>
  <c r="AX12" i="1" a="1"/>
  <c r="AX12" i="1"/>
  <c r="AY12" i="1" a="1"/>
  <c r="AY12" i="1"/>
  <c r="AZ12" i="1" a="1"/>
  <c r="AZ12" i="1"/>
  <c r="BA12" i="1" a="1"/>
  <c r="BA12" i="1"/>
  <c r="BB12" i="1" a="1"/>
  <c r="BB12" i="1"/>
  <c r="BC12" i="1" a="1"/>
  <c r="BC12" i="1"/>
  <c r="BK12" i="1" a="1"/>
  <c r="BK12" i="1"/>
  <c r="BL12" i="1" a="1"/>
  <c r="BL12" i="1"/>
  <c r="BM12" i="1" a="1"/>
  <c r="BM12" i="1" s="1"/>
  <c r="BN12" i="1" a="1"/>
  <c r="BN12" i="1"/>
  <c r="BO12" i="1" a="1"/>
  <c r="BO12" i="1"/>
  <c r="BP12" i="1" a="1"/>
  <c r="BP12" i="1"/>
  <c r="AD13" i="1" a="1"/>
  <c r="AD13" i="1"/>
  <c r="AE13" i="1" a="1"/>
  <c r="AE13" i="1"/>
  <c r="AF13" i="1" a="1"/>
  <c r="AF13" i="1" s="1"/>
  <c r="AG13" i="1" a="1"/>
  <c r="AG13" i="1"/>
  <c r="AH13" i="1" a="1"/>
  <c r="AH13" i="1"/>
  <c r="AI13" i="1" a="1"/>
  <c r="AI13" i="1"/>
  <c r="AJ13" i="1" a="1"/>
  <c r="AJ13" i="1"/>
  <c r="AK13" i="1" a="1"/>
  <c r="AK13" i="1"/>
  <c r="AL13" i="1" a="1"/>
  <c r="AL13" i="1" s="1"/>
  <c r="AM13" i="1" a="1"/>
  <c r="AM13" i="1" s="1"/>
  <c r="AN13" i="1" a="1"/>
  <c r="AN13" i="1" s="1"/>
  <c r="AO13" i="1" a="1"/>
  <c r="AO13" i="1" s="1"/>
  <c r="AP13" i="1" a="1"/>
  <c r="AP13" i="1" s="1"/>
  <c r="AQ13" i="1" a="1"/>
  <c r="AQ13" i="1" s="1"/>
  <c r="AR13" i="1" a="1"/>
  <c r="AR13" i="1"/>
  <c r="AS13" i="1" a="1"/>
  <c r="AS13" i="1" s="1"/>
  <c r="AT13" i="1" a="1"/>
  <c r="AT13" i="1" s="1"/>
  <c r="AU13" i="1" a="1"/>
  <c r="AU13" i="1" s="1"/>
  <c r="AV13" i="1" a="1"/>
  <c r="AV13" i="1" s="1"/>
  <c r="AW13" i="1" a="1"/>
  <c r="AW13" i="1" s="1"/>
  <c r="AX13" i="1" a="1"/>
  <c r="AX13" i="1"/>
  <c r="AY13" i="1" a="1"/>
  <c r="AY13" i="1" s="1"/>
  <c r="AZ13" i="1" a="1"/>
  <c r="AZ13" i="1"/>
  <c r="BA13" i="1" a="1"/>
  <c r="BA13" i="1"/>
  <c r="BB13" i="1" a="1"/>
  <c r="BB13" i="1" s="1"/>
  <c r="BC13" i="1" a="1"/>
  <c r="BC13" i="1" s="1"/>
  <c r="BK13" i="1" a="1"/>
  <c r="BK13" i="1"/>
  <c r="BL13" i="1" a="1"/>
  <c r="BL13" i="1" s="1"/>
  <c r="BM13" i="1" a="1"/>
  <c r="BM13" i="1"/>
  <c r="BN13" i="1" a="1"/>
  <c r="BN13" i="1"/>
  <c r="BO13" i="1" a="1"/>
  <c r="BO13" i="1"/>
  <c r="BP13" i="1" a="1"/>
  <c r="BP13" i="1" s="1"/>
  <c r="AD14" i="1" a="1"/>
  <c r="AD14" i="1" s="1"/>
  <c r="AE14" i="1" a="1"/>
  <c r="AE14" i="1" s="1"/>
  <c r="AF14" i="1" a="1"/>
  <c r="AF14" i="1"/>
  <c r="AG14" i="1" a="1"/>
  <c r="AG14" i="1"/>
  <c r="AH14" i="1" a="1"/>
  <c r="AH14" i="1"/>
  <c r="AI14" i="1" a="1"/>
  <c r="AI14" i="1" s="1"/>
  <c r="AJ14" i="1" a="1"/>
  <c r="AJ14" i="1" s="1"/>
  <c r="AK14" i="1" a="1"/>
  <c r="AK14" i="1" s="1"/>
  <c r="AL14" i="1" a="1"/>
  <c r="AL14" i="1"/>
  <c r="AM14" i="1" a="1"/>
  <c r="AM14" i="1"/>
  <c r="AN14" i="1" a="1"/>
  <c r="AN14" i="1"/>
  <c r="AO14" i="1" a="1"/>
  <c r="AO14" i="1" s="1"/>
  <c r="AP14" i="1" a="1"/>
  <c r="AP14" i="1" s="1"/>
  <c r="AQ14" i="1" a="1"/>
  <c r="AQ14" i="1" s="1"/>
  <c r="AR14" i="1" a="1"/>
  <c r="AR14" i="1"/>
  <c r="AS14" i="1" a="1"/>
  <c r="AS14" i="1"/>
  <c r="AT14" i="1" a="1"/>
  <c r="AT14" i="1"/>
  <c r="AU14" i="1" a="1"/>
  <c r="AU14" i="1" s="1"/>
  <c r="AV14" i="1" a="1"/>
  <c r="AV14" i="1" s="1"/>
  <c r="AW14" i="1" a="1"/>
  <c r="AW14" i="1" s="1"/>
  <c r="AX14" i="1" a="1"/>
  <c r="AX14" i="1" s="1"/>
  <c r="AY14" i="1" a="1"/>
  <c r="AY14" i="1"/>
  <c r="AZ14" i="1" a="1"/>
  <c r="AZ14" i="1"/>
  <c r="BA14" i="1" a="1"/>
  <c r="BA14" i="1"/>
  <c r="BB14" i="1" a="1"/>
  <c r="BB14" i="1" s="1"/>
  <c r="BC14" i="1" a="1"/>
  <c r="BC14" i="1" s="1"/>
  <c r="BK14" i="1" a="1"/>
  <c r="BK14" i="1" s="1"/>
  <c r="BL14" i="1" a="1"/>
  <c r="BL14" i="1"/>
  <c r="BM14" i="1" a="1"/>
  <c r="BM14" i="1"/>
  <c r="BN14" i="1" a="1"/>
  <c r="BN14" i="1" s="1"/>
  <c r="BO14" i="1" a="1"/>
  <c r="BO14" i="1" s="1"/>
  <c r="BP14" i="1" a="1"/>
  <c r="BP14" i="1" s="1"/>
  <c r="AD15" i="1" a="1"/>
  <c r="AD15" i="1" s="1"/>
  <c r="AE15" i="1" a="1"/>
  <c r="AE15" i="1"/>
  <c r="AF15" i="1" a="1"/>
  <c r="AF15" i="1"/>
  <c r="AG15" i="1" a="1"/>
  <c r="AG15" i="1" s="1"/>
  <c r="AH15" i="1" a="1"/>
  <c r="AH15" i="1" s="1"/>
  <c r="AI15" i="1" a="1"/>
  <c r="AI15" i="1" s="1"/>
  <c r="AJ15" i="1" a="1"/>
  <c r="AJ15" i="1" s="1"/>
  <c r="AK15" i="1" a="1"/>
  <c r="AK15" i="1"/>
  <c r="AL15" i="1" a="1"/>
  <c r="AL15" i="1"/>
  <c r="AM15" i="1" a="1"/>
  <c r="AM15" i="1" s="1"/>
  <c r="AN15" i="1" a="1"/>
  <c r="AN15" i="1" s="1"/>
  <c r="AO15" i="1" a="1"/>
  <c r="AO15" i="1" s="1"/>
  <c r="AP15" i="1" a="1"/>
  <c r="AP15" i="1" s="1"/>
  <c r="AQ15" i="1" a="1"/>
  <c r="AQ15" i="1"/>
  <c r="AR15" i="1" a="1"/>
  <c r="AR15" i="1"/>
  <c r="AS15" i="1" a="1"/>
  <c r="AS15" i="1" s="1"/>
  <c r="AT15" i="1" a="1"/>
  <c r="AT15" i="1" s="1"/>
  <c r="AU15" i="1" a="1"/>
  <c r="AU15" i="1" s="1"/>
  <c r="AV15" i="1" a="1"/>
  <c r="AV15" i="1" s="1"/>
  <c r="AW15" i="1" a="1"/>
  <c r="AW15" i="1"/>
  <c r="AX15" i="1" a="1"/>
  <c r="AX15" i="1"/>
  <c r="AY15" i="1" a="1"/>
  <c r="AY15" i="1" s="1"/>
  <c r="AZ15" i="1" a="1"/>
  <c r="AZ15" i="1"/>
  <c r="BA15" i="1" a="1"/>
  <c r="BA15" i="1"/>
  <c r="BB15" i="1" a="1"/>
  <c r="BB15" i="1" s="1"/>
  <c r="BC15" i="1" a="1"/>
  <c r="BC15" i="1"/>
  <c r="BK15" i="1" a="1"/>
  <c r="BK15" i="1"/>
  <c r="BL15" i="1" a="1"/>
  <c r="BL15" i="1" s="1"/>
  <c r="BM15" i="1" a="1"/>
  <c r="BM15" i="1" s="1"/>
  <c r="BN15" i="1" a="1"/>
  <c r="BN15" i="1" s="1"/>
  <c r="BO15" i="1" a="1"/>
  <c r="BO15" i="1" s="1"/>
  <c r="BP15" i="1" a="1"/>
  <c r="BP15" i="1"/>
  <c r="Z26" i="1"/>
  <c r="Z24" i="1"/>
  <c r="Z22" i="1"/>
  <c r="Z20" i="1"/>
  <c r="Z18" i="1"/>
  <c r="Z16" i="1"/>
  <c r="Z14" i="1"/>
  <c r="Z12" i="1"/>
  <c r="Z10" i="1"/>
  <c r="Z8" i="1"/>
  <c r="Z6" i="1"/>
  <c r="Z4" i="1"/>
  <c r="X29" i="1"/>
  <c r="V29" i="1"/>
  <c r="T29" i="1"/>
  <c r="R29" i="1"/>
  <c r="P29" i="1"/>
  <c r="N29" i="1"/>
  <c r="L29" i="1"/>
  <c r="J29" i="1"/>
  <c r="H29" i="1"/>
  <c r="F29" i="1"/>
  <c r="D29" i="1"/>
  <c r="B29" i="1"/>
  <c r="X2" i="1"/>
  <c r="V2" i="1"/>
  <c r="T2" i="1"/>
  <c r="R2" i="1"/>
  <c r="P2" i="1"/>
  <c r="N2" i="1"/>
  <c r="L2" i="1"/>
  <c r="J2" i="1"/>
  <c r="H2" i="1"/>
  <c r="F2" i="1"/>
  <c r="D2" i="1"/>
  <c r="B2" i="1"/>
  <c r="A4" i="1"/>
  <c r="N18" i="1" l="1"/>
  <c r="O19" i="1"/>
  <c r="O18" i="1"/>
  <c r="N19" i="1"/>
  <c r="S22" i="1"/>
  <c r="R22" i="1"/>
  <c r="P23" i="1"/>
  <c r="P21" i="1"/>
  <c r="Q20" i="1"/>
  <c r="S23" i="1"/>
  <c r="Q21" i="1"/>
  <c r="Q22" i="1"/>
  <c r="O22" i="1"/>
  <c r="N21" i="1"/>
  <c r="O21" i="1"/>
  <c r="O20" i="1"/>
  <c r="N20" i="1"/>
  <c r="P20" i="1"/>
  <c r="O23" i="1"/>
  <c r="R23" i="1"/>
  <c r="Q23" i="1"/>
  <c r="P22" i="1"/>
  <c r="N23" i="1"/>
  <c r="N22" i="1"/>
  <c r="C19" i="1"/>
  <c r="E18" i="1"/>
  <c r="A26" i="1"/>
  <c r="A24" i="1"/>
  <c r="A22" i="1"/>
  <c r="A20" i="1"/>
  <c r="A18" i="1"/>
  <c r="A16" i="1"/>
  <c r="A14" i="1"/>
  <c r="A12" i="1"/>
  <c r="A10" i="1"/>
  <c r="A8" i="1"/>
  <c r="A6" i="1"/>
  <c r="N26" i="1"/>
  <c r="P26" i="1"/>
  <c r="G10" i="1" l="1"/>
  <c r="D10" i="1"/>
  <c r="F10" i="1"/>
  <c r="H16" i="1"/>
  <c r="E10" i="1"/>
  <c r="C18" i="1"/>
  <c r="C10" i="1"/>
  <c r="I16" i="1"/>
  <c r="B10" i="1"/>
  <c r="G11" i="1"/>
  <c r="F11" i="1"/>
  <c r="E11" i="1"/>
  <c r="D11" i="1"/>
  <c r="H17" i="1"/>
  <c r="C11" i="1"/>
  <c r="I17" i="1"/>
  <c r="B11" i="1"/>
  <c r="H13" i="1"/>
  <c r="I12" i="1"/>
  <c r="H12" i="1"/>
  <c r="F12" i="1"/>
  <c r="E12" i="1"/>
  <c r="G12" i="1"/>
  <c r="B12" i="1"/>
  <c r="D12" i="1"/>
  <c r="G13" i="1"/>
  <c r="I13" i="1"/>
  <c r="F13" i="1"/>
  <c r="E13" i="1"/>
  <c r="D13" i="1"/>
  <c r="C12" i="1"/>
  <c r="J17" i="1"/>
  <c r="C13" i="1"/>
  <c r="K17" i="1"/>
  <c r="B13" i="1"/>
  <c r="K14" i="1"/>
  <c r="J26" i="1"/>
  <c r="J14" i="1"/>
  <c r="I15" i="1"/>
  <c r="K15" i="1"/>
  <c r="J15" i="1"/>
  <c r="G14" i="1"/>
  <c r="I14" i="1"/>
  <c r="H15" i="1"/>
  <c r="D14" i="1"/>
  <c r="H14" i="1"/>
  <c r="G15" i="1"/>
  <c r="F14" i="1"/>
  <c r="F15" i="1"/>
  <c r="E14" i="1"/>
  <c r="E15" i="1"/>
  <c r="D21" i="1"/>
  <c r="D15" i="1"/>
  <c r="D18" i="1"/>
  <c r="B14" i="1"/>
  <c r="L16" i="1"/>
  <c r="C14" i="1"/>
  <c r="C15" i="1"/>
  <c r="M17" i="1"/>
  <c r="B15" i="1"/>
  <c r="M22" i="1"/>
  <c r="M16" i="1"/>
  <c r="K22" i="1"/>
  <c r="K16" i="1"/>
  <c r="J16" i="1"/>
  <c r="L23" i="1"/>
  <c r="L17" i="1"/>
  <c r="G22" i="1"/>
  <c r="G16" i="1"/>
  <c r="F18" i="1"/>
  <c r="F16" i="1"/>
  <c r="E16" i="1"/>
  <c r="D16" i="1"/>
  <c r="G19" i="1"/>
  <c r="G17" i="1"/>
  <c r="F19" i="1"/>
  <c r="F17" i="1"/>
  <c r="E19" i="1"/>
  <c r="E17" i="1"/>
  <c r="D17" i="1"/>
  <c r="C16" i="1"/>
  <c r="B18" i="1"/>
  <c r="B16" i="1"/>
  <c r="C17" i="1"/>
  <c r="B21" i="1"/>
  <c r="B17" i="1"/>
  <c r="M18" i="1"/>
  <c r="L22" i="1"/>
  <c r="L18" i="1"/>
  <c r="M23" i="1"/>
  <c r="M19" i="1"/>
  <c r="L19" i="1"/>
  <c r="K18" i="1"/>
  <c r="J18" i="1"/>
  <c r="K21" i="1"/>
  <c r="K19" i="1"/>
  <c r="J23" i="1"/>
  <c r="J19" i="1"/>
  <c r="I20" i="1"/>
  <c r="I18" i="1"/>
  <c r="H20" i="1"/>
  <c r="H18" i="1"/>
  <c r="I21" i="1"/>
  <c r="I19" i="1"/>
  <c r="H21" i="1"/>
  <c r="H19" i="1"/>
  <c r="G18" i="1"/>
  <c r="D19" i="1"/>
  <c r="D8" i="1"/>
  <c r="E8" i="1"/>
  <c r="B8" i="1"/>
  <c r="C8" i="1"/>
  <c r="G20" i="1"/>
  <c r="F20" i="1"/>
  <c r="E9" i="1"/>
  <c r="D9" i="1"/>
  <c r="F21" i="1"/>
  <c r="C9" i="1"/>
  <c r="G21" i="1"/>
  <c r="B9" i="1"/>
  <c r="C6" i="1"/>
  <c r="J22" i="1"/>
  <c r="L20" i="1"/>
  <c r="B6" i="1"/>
  <c r="C7" i="1"/>
  <c r="K23" i="1"/>
  <c r="D20" i="1"/>
  <c r="J20" i="1"/>
  <c r="J21" i="1"/>
  <c r="B7" i="1"/>
  <c r="M20" i="1"/>
  <c r="M21" i="1"/>
  <c r="B20" i="1"/>
  <c r="C21" i="1"/>
  <c r="E20" i="1"/>
  <c r="E21" i="1"/>
  <c r="K20" i="1"/>
  <c r="B19" i="1"/>
  <c r="L21" i="1"/>
  <c r="C20" i="1"/>
  <c r="I22" i="1"/>
  <c r="H23" i="1"/>
  <c r="I23" i="1"/>
  <c r="H26" i="1"/>
  <c r="H22" i="1"/>
  <c r="E23" i="1"/>
  <c r="F22" i="1"/>
  <c r="F23" i="1"/>
  <c r="G23" i="1"/>
  <c r="T26" i="1"/>
  <c r="E22" i="1"/>
  <c r="D26" i="1"/>
  <c r="D22" i="1"/>
  <c r="D23" i="1"/>
  <c r="U24" i="1"/>
  <c r="T24" i="1"/>
  <c r="C23" i="1"/>
  <c r="C22" i="1"/>
  <c r="B23" i="1"/>
  <c r="B22" i="1"/>
  <c r="S24" i="1"/>
  <c r="U25" i="1"/>
  <c r="R25" i="1"/>
  <c r="T25" i="1"/>
  <c r="S25" i="1"/>
  <c r="R26" i="1"/>
  <c r="R24" i="1"/>
  <c r="Q24" i="1"/>
  <c r="P24" i="1"/>
  <c r="Q25" i="1"/>
  <c r="P25" i="1"/>
  <c r="M25" i="1"/>
  <c r="O25" i="1"/>
  <c r="K25" i="1"/>
  <c r="M24" i="1"/>
  <c r="N25" i="1"/>
  <c r="J25" i="1"/>
  <c r="N24" i="1"/>
  <c r="J24" i="1"/>
  <c r="K24" i="1"/>
  <c r="O24" i="1"/>
  <c r="L25" i="1"/>
  <c r="L26" i="1"/>
  <c r="L24" i="1"/>
  <c r="H24" i="1"/>
  <c r="H25" i="1"/>
  <c r="I24" i="1"/>
  <c r="I25" i="1"/>
  <c r="G25" i="1"/>
  <c r="G24" i="1"/>
  <c r="F26" i="1"/>
  <c r="F24" i="1"/>
  <c r="D25" i="1"/>
  <c r="F25" i="1"/>
  <c r="E24" i="1"/>
  <c r="E25" i="1"/>
  <c r="D24" i="1"/>
  <c r="C24" i="1"/>
  <c r="B26" i="1"/>
  <c r="B24" i="1"/>
  <c r="C25" i="1"/>
  <c r="B25" i="1"/>
  <c r="U27" i="1"/>
  <c r="W27" i="1"/>
  <c r="V26" i="1"/>
  <c r="W26" i="1"/>
  <c r="V27" i="1"/>
  <c r="U26" i="1"/>
  <c r="T27" i="1"/>
  <c r="Q27" i="1"/>
  <c r="S27" i="1"/>
  <c r="S26" i="1"/>
  <c r="R27" i="1"/>
  <c r="Q26" i="1"/>
  <c r="P27" i="1"/>
  <c r="O26" i="1"/>
  <c r="O27" i="1"/>
  <c r="I26" i="1"/>
  <c r="K26" i="1"/>
  <c r="E26" i="1"/>
  <c r="C26" i="1"/>
  <c r="G26" i="1"/>
  <c r="M26" i="1"/>
  <c r="I27" i="1"/>
  <c r="K27" i="1"/>
  <c r="G27" i="1"/>
  <c r="M27" i="1"/>
  <c r="F27" i="1"/>
  <c r="N27" i="1"/>
  <c r="H27" i="1"/>
  <c r="J27" i="1"/>
  <c r="L27" i="1"/>
  <c r="E27" i="1"/>
  <c r="C27" i="1"/>
  <c r="D27" i="1"/>
  <c r="B27" i="1"/>
  <c r="Y25" i="1"/>
  <c r="X25" i="1"/>
  <c r="Y24" i="1"/>
  <c r="X24" i="1"/>
  <c r="Y23" i="1"/>
  <c r="Y22" i="1"/>
  <c r="X23" i="1"/>
  <c r="X22" i="1"/>
  <c r="Y21" i="1"/>
  <c r="X21" i="1"/>
  <c r="Y20" i="1"/>
  <c r="X20" i="1"/>
  <c r="Y19" i="1"/>
  <c r="X19" i="1"/>
  <c r="Y18" i="1"/>
  <c r="X18" i="1"/>
  <c r="Y17" i="1"/>
  <c r="Y16" i="1"/>
  <c r="X17" i="1"/>
  <c r="X16" i="1"/>
  <c r="Y15" i="1"/>
  <c r="Y13" i="1"/>
  <c r="Y14" i="1"/>
  <c r="X15" i="1"/>
  <c r="X14" i="1"/>
  <c r="Y12" i="1"/>
  <c r="X12" i="1"/>
  <c r="X13" i="1"/>
  <c r="Y11" i="1"/>
  <c r="X11" i="1"/>
  <c r="Y10" i="1"/>
  <c r="X10" i="1"/>
  <c r="Y9" i="1"/>
  <c r="X9" i="1"/>
  <c r="Y8" i="1"/>
  <c r="X8" i="1"/>
  <c r="Y7" i="1"/>
  <c r="X7" i="1"/>
  <c r="Y6" i="1"/>
  <c r="X6" i="1"/>
  <c r="Y5" i="1"/>
  <c r="Y4" i="1"/>
  <c r="X5" i="1"/>
  <c r="X4" i="1"/>
  <c r="W23" i="1"/>
  <c r="W22" i="1"/>
  <c r="V23" i="1"/>
  <c r="V22" i="1"/>
  <c r="W21" i="1"/>
  <c r="V21" i="1"/>
  <c r="W20" i="1"/>
  <c r="V20" i="1"/>
  <c r="W19" i="1"/>
  <c r="V19" i="1"/>
  <c r="W18" i="1"/>
  <c r="V18" i="1"/>
  <c r="W17" i="1"/>
  <c r="W16" i="1"/>
  <c r="V17" i="1"/>
  <c r="V16" i="1"/>
  <c r="W15" i="1"/>
  <c r="V15" i="1"/>
  <c r="W14" i="1"/>
  <c r="V14" i="1"/>
  <c r="W13" i="1"/>
  <c r="W12" i="1"/>
  <c r="V13" i="1"/>
  <c r="W11" i="1"/>
  <c r="V12" i="1"/>
  <c r="W10" i="1"/>
  <c r="V11" i="1"/>
  <c r="V10" i="1"/>
  <c r="W9" i="1"/>
  <c r="W8" i="1"/>
  <c r="V9" i="1"/>
  <c r="V8" i="1"/>
  <c r="V7" i="1"/>
  <c r="W7" i="1"/>
  <c r="W6" i="1"/>
  <c r="V6" i="1"/>
  <c r="W5" i="1"/>
  <c r="W4" i="1"/>
  <c r="V5" i="1"/>
  <c r="V4" i="1"/>
  <c r="U21" i="1"/>
  <c r="U20" i="1"/>
  <c r="T21" i="1"/>
  <c r="T20" i="1"/>
  <c r="U19" i="1"/>
  <c r="U18" i="1"/>
  <c r="T19" i="1"/>
  <c r="T18" i="1"/>
  <c r="U17" i="1"/>
  <c r="U16" i="1"/>
  <c r="T17" i="1"/>
  <c r="T16" i="1"/>
  <c r="U15" i="1"/>
  <c r="U14" i="1"/>
  <c r="T15" i="1"/>
  <c r="T14" i="1"/>
  <c r="U13" i="1"/>
  <c r="U12" i="1"/>
  <c r="T13" i="1"/>
  <c r="T12" i="1"/>
  <c r="U11" i="1"/>
  <c r="T11" i="1"/>
  <c r="U10" i="1"/>
  <c r="T10" i="1"/>
  <c r="U9" i="1"/>
  <c r="U8" i="1"/>
  <c r="T8" i="1"/>
  <c r="T9" i="1"/>
  <c r="U7" i="1"/>
  <c r="U6" i="1"/>
  <c r="T7" i="1"/>
  <c r="T6" i="1"/>
  <c r="U5" i="1"/>
  <c r="U4" i="1"/>
  <c r="T5" i="1"/>
  <c r="T4" i="1"/>
  <c r="S19" i="1"/>
  <c r="S5" i="1"/>
  <c r="R5" i="1"/>
  <c r="S14" i="1"/>
  <c r="L13" i="1"/>
  <c r="P17" i="1"/>
  <c r="M5" i="1"/>
  <c r="S12" i="1"/>
  <c r="O13" i="1"/>
  <c r="R14" i="1"/>
  <c r="O9" i="1"/>
  <c r="P6" i="1"/>
  <c r="S8" i="1"/>
  <c r="P7" i="1"/>
  <c r="S18" i="1"/>
  <c r="Q11" i="1"/>
  <c r="R8" i="1"/>
  <c r="P9" i="1"/>
  <c r="L10" i="1"/>
  <c r="R16" i="1"/>
  <c r="S10" i="1"/>
  <c r="R10" i="1"/>
  <c r="N13" i="1"/>
  <c r="S9" i="1"/>
  <c r="Q16" i="1"/>
  <c r="M13" i="1"/>
  <c r="O8" i="1"/>
  <c r="R11" i="1"/>
  <c r="Q4" i="1"/>
  <c r="R19" i="1"/>
  <c r="M12" i="1"/>
  <c r="J4" i="1"/>
  <c r="K7" i="1"/>
  <c r="P4" i="1"/>
  <c r="S17" i="1"/>
  <c r="N14" i="1"/>
  <c r="O15" i="1"/>
  <c r="N12" i="1"/>
  <c r="P13" i="1"/>
  <c r="Q7" i="1"/>
  <c r="Q15" i="1"/>
  <c r="Q6" i="1"/>
  <c r="S11" i="1"/>
  <c r="S15" i="1"/>
  <c r="S7" i="1"/>
  <c r="O12" i="1"/>
  <c r="N11" i="1"/>
  <c r="O6" i="1"/>
  <c r="J5" i="1"/>
  <c r="P8" i="1"/>
  <c r="P12" i="1"/>
  <c r="P16" i="1"/>
  <c r="R4" i="1"/>
  <c r="R12" i="1"/>
  <c r="R17" i="1"/>
  <c r="L12" i="1"/>
  <c r="Q8" i="1"/>
  <c r="Q12" i="1"/>
  <c r="S4" i="1"/>
  <c r="N15" i="1"/>
  <c r="O7" i="1"/>
  <c r="O11" i="1"/>
  <c r="Q9" i="1"/>
  <c r="Q13" i="1"/>
  <c r="Q17" i="1"/>
  <c r="S13" i="1"/>
  <c r="R13" i="1"/>
  <c r="O14" i="1"/>
  <c r="J6" i="1"/>
  <c r="L9" i="1"/>
  <c r="P10" i="1"/>
  <c r="P14" i="1"/>
  <c r="R6" i="1"/>
  <c r="R18" i="1"/>
  <c r="R9" i="1"/>
  <c r="S16" i="1"/>
  <c r="N7" i="1"/>
  <c r="P11" i="1"/>
  <c r="P15" i="1"/>
  <c r="R7" i="1"/>
  <c r="R15" i="1"/>
  <c r="M4" i="1"/>
  <c r="Q10" i="1"/>
  <c r="Q14" i="1"/>
  <c r="S6" i="1"/>
  <c r="K6" i="1"/>
  <c r="M8" i="1"/>
  <c r="K8" i="1"/>
  <c r="M6" i="1"/>
  <c r="L5" i="1"/>
  <c r="L6" i="1"/>
  <c r="G6" i="1"/>
  <c r="N5" i="1"/>
  <c r="F5" i="1"/>
  <c r="N4" i="1"/>
  <c r="P5" i="1"/>
  <c r="N8" i="1"/>
  <c r="H5" i="1"/>
  <c r="J8" i="1"/>
  <c r="K11" i="1"/>
  <c r="H7" i="1"/>
  <c r="M11" i="1"/>
  <c r="F7" i="1"/>
  <c r="J7" i="1"/>
  <c r="L7" i="1"/>
  <c r="E5" i="1"/>
  <c r="Q5" i="1"/>
  <c r="I6" i="1"/>
  <c r="M9" i="1"/>
  <c r="N10" i="1"/>
  <c r="K9" i="1"/>
  <c r="I8" i="1"/>
  <c r="J10" i="1"/>
  <c r="O5" i="1"/>
  <c r="K5" i="1"/>
  <c r="N6" i="1"/>
  <c r="H6" i="1"/>
  <c r="L4" i="1"/>
  <c r="D4" i="1"/>
  <c r="D5" i="1"/>
  <c r="N9" i="1"/>
  <c r="I9" i="1"/>
  <c r="J9" i="1"/>
  <c r="G7" i="1"/>
  <c r="O10" i="1"/>
  <c r="G5" i="1"/>
  <c r="I5" i="1"/>
  <c r="L11" i="1"/>
  <c r="G4" i="1"/>
  <c r="K4" i="1"/>
  <c r="M10" i="1"/>
  <c r="O4" i="1"/>
  <c r="E4" i="1"/>
  <c r="I7" i="1"/>
  <c r="J11" i="1"/>
  <c r="M7" i="1"/>
  <c r="H4" i="1"/>
  <c r="H8" i="1"/>
  <c r="K10" i="1"/>
  <c r="F4" i="1"/>
  <c r="H9" i="1"/>
  <c r="L8" i="1"/>
  <c r="F6" i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<sst xmlns="http://schemas.openxmlformats.org/spreadsheetml/2006/main" count="165" uniqueCount="75">
  <si>
    <t>BID</t>
    <phoneticPr fontId="1" type="noConversion"/>
  </si>
  <si>
    <t>ASK</t>
    <phoneticPr fontId="1" type="noConversion"/>
  </si>
  <si>
    <t>近月-远月</t>
    <phoneticPr fontId="1" type="noConversion"/>
  </si>
  <si>
    <t>远月-近月</t>
    <phoneticPr fontId="1" type="noConversion"/>
  </si>
  <si>
    <t>合约代码</t>
  </si>
  <si>
    <t>合约名称</t>
  </si>
  <si>
    <t>净持仓</t>
  </si>
  <si>
    <t>多头持仓</t>
  </si>
  <si>
    <t>空头持仓</t>
  </si>
  <si>
    <t>持仓盈亏</t>
  </si>
  <si>
    <t>最新</t>
  </si>
  <si>
    <t>涨跌</t>
  </si>
  <si>
    <t>涨跌%</t>
  </si>
  <si>
    <t>买量</t>
  </si>
  <si>
    <t>买价</t>
  </si>
  <si>
    <t>卖价</t>
  </si>
  <si>
    <t>卖量</t>
  </si>
  <si>
    <t>今开</t>
  </si>
  <si>
    <t>最高</t>
  </si>
  <si>
    <t>最低</t>
  </si>
  <si>
    <t>成交量</t>
  </si>
  <si>
    <t>持仓量</t>
  </si>
  <si>
    <t>现增仓</t>
  </si>
  <si>
    <t>日增仓</t>
  </si>
  <si>
    <t>合约状态</t>
  </si>
  <si>
    <t>更新时间</t>
  </si>
  <si>
    <t>涨停</t>
  </si>
  <si>
    <t>跌停</t>
  </si>
  <si>
    <t>今收</t>
  </si>
  <si>
    <t>今结</t>
  </si>
  <si>
    <t>昨收</t>
  </si>
  <si>
    <t>昨结</t>
  </si>
  <si>
    <t>交易所</t>
  </si>
  <si>
    <t>品种</t>
  </si>
  <si>
    <t>合约乘数</t>
  </si>
  <si>
    <t>到期日</t>
  </si>
  <si>
    <t>保证金</t>
  </si>
  <si>
    <t>手续费</t>
  </si>
  <si>
    <t>币种</t>
  </si>
  <si>
    <t>现买量</t>
  </si>
  <si>
    <t>现买价</t>
  </si>
  <si>
    <t>现卖价</t>
  </si>
  <si>
    <t>现卖量</t>
  </si>
  <si>
    <t>总买量</t>
  </si>
  <si>
    <t>总卖量</t>
  </si>
  <si>
    <t>hcMain</t>
  </si>
  <si>
    <t>热轧卷板主连</t>
  </si>
  <si>
    <t>SHFE</t>
  </si>
  <si>
    <t>hc</t>
  </si>
  <si>
    <t>开仓0.010000%+0.00,平仓0.010000%+0.00,平今0.00</t>
  </si>
  <si>
    <t>CNY</t>
  </si>
  <si>
    <t>hc2305</t>
  </si>
  <si>
    <t>热轧卷板2305</t>
  </si>
  <si>
    <t>hc2306</t>
  </si>
  <si>
    <t>热轧卷板2306</t>
  </si>
  <si>
    <t>hc2307</t>
  </si>
  <si>
    <t>热轧卷板2307</t>
  </si>
  <si>
    <t>hc2308</t>
  </si>
  <si>
    <t>热轧卷板2308</t>
  </si>
  <si>
    <t>hc2309</t>
  </si>
  <si>
    <t>热轧卷板2309</t>
  </si>
  <si>
    <t>hc2310</t>
  </si>
  <si>
    <t>热轧卷板2310</t>
  </si>
  <si>
    <t>hc2311</t>
  </si>
  <si>
    <t>热轧卷板2311</t>
  </si>
  <si>
    <t>hc2312</t>
  </si>
  <si>
    <t>热轧卷板2312</t>
  </si>
  <si>
    <t>hc2401</t>
  </si>
  <si>
    <t>热轧卷板2401</t>
  </si>
  <si>
    <t>hc2402</t>
  </si>
  <si>
    <t>热轧卷板2402</t>
  </si>
  <si>
    <t>hc2403</t>
  </si>
  <si>
    <t>热轧卷板2403</t>
  </si>
  <si>
    <t>hc2404</t>
  </si>
  <si>
    <t>热轧卷板2404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</si>
</sst>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微软雅黑"/>
      <family val="2"/>
      <charset val="134"/>
    </font>
    <font>
      <b/>
      <sz val="11"/>
      <color theme="0"/>
      <name val="微软雅黑"/>
      <family val="2"/>
      <charset val="134"/>
    </font>
    <font>
      <b/>
      <sz val="11"/>
      <color rgb="FFC00000"/>
      <name val="微软雅黑"/>
      <family val="2"/>
      <charset val="134"/>
    </font>
    <font>
      <b/>
      <sz val="11"/>
      <color theme="9" tint="-0.499984740745262"/>
      <name val="微软雅黑"/>
      <family val="2"/>
      <charset val="134"/>
    </font>
    <font>
      <b/>
      <sz val="11"/>
      <color theme="1" tint="4.9989318521683403E-2"/>
      <name val="微软雅黑"/>
      <family val="2"/>
      <charset val="134"/>
    </font>
    <font>
      <b/>
      <sz val="11"/>
      <color rgb="FF000000"/>
      <name val="微软雅黑"/>
      <family val="2"/>
      <charset val="134"/>
    </font>
    <font>
      <b/>
      <sz val="11"/>
      <color rgb="FFFF0000"/>
      <name val="微软雅黑"/>
      <family val="2"/>
      <charset val="136"/>
    </font>
  </fonts>
  <fills count="1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C00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0" fontId="2" fillId="0" borderId="0" xfId="0" applyNumberFormat="1" applyFont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right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right" vertical="center"/>
    </xf>
    <xf numFmtId="0" fontId="2" fillId="4" borderId="5" xfId="0" applyFont="1" applyFill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2" fillId="0" borderId="14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4" borderId="4" xfId="0" applyFont="1" applyFill="1" applyBorder="1" applyAlignment="1">
      <alignment horizontal="right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0" fontId="3" fillId="10" borderId="5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right" vertical="center"/>
    </xf>
    <xf numFmtId="0" fontId="2" fillId="6" borderId="8" xfId="0" applyFont="1" applyFill="1" applyBorder="1" applyAlignment="1">
      <alignment horizontal="right" vertical="center"/>
    </xf>
    <xf numFmtId="0" fontId="2" fillId="0" borderId="18" xfId="0" applyFont="1" applyBorder="1" applyAlignment="1">
      <alignment horizontal="right" vertical="center"/>
    </xf>
    <xf numFmtId="0" fontId="4" fillId="0" borderId="18" xfId="0" applyFont="1" applyBorder="1" applyAlignment="1">
      <alignment horizontal="right" vertical="center"/>
    </xf>
    <xf numFmtId="0" fontId="5" fillId="0" borderId="18" xfId="0" applyFont="1" applyBorder="1" applyAlignment="1">
      <alignment horizontal="right" vertical="center"/>
    </xf>
    <xf numFmtId="10" fontId="2" fillId="0" borderId="18" xfId="0" applyNumberFormat="1" applyFont="1" applyBorder="1" applyAlignment="1">
      <alignment horizontal="right" vertical="center"/>
    </xf>
    <xf numFmtId="0" fontId="8" fillId="3" borderId="0" xfId="0" applyFont="1" applyFill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11" borderId="12" xfId="0" applyFont="1" applyFill="1" applyBorder="1" applyAlignment="1">
      <alignment horizontal="center" vertical="center"/>
    </xf>
    <xf numFmtId="0" fontId="3" fillId="11" borderId="13" xfId="0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3" fillId="9" borderId="4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11" borderId="17" xfId="0" applyFont="1" applyFill="1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/>
    </xf>
    <xf numFmtId="0" fontId="3" fillId="9" borderId="13" xfId="0" applyFont="1" applyFill="1" applyBorder="1" applyAlignment="1">
      <alignment horizontal="center" vertical="center"/>
    </xf>
    <xf numFmtId="0" fontId="3" fillId="9" borderId="12" xfId="0" applyFont="1" applyFill="1" applyBorder="1" applyAlignment="1">
      <alignment horizontal="center" vertical="center"/>
    </xf>
    <xf numFmtId="0" fontId="3" fillId="11" borderId="17" xfId="0" applyFont="1" applyFill="1" applyBorder="1" applyAlignment="1">
      <alignment horizontal="right" vertical="center"/>
    </xf>
    <xf numFmtId="0" fontId="3" fillId="11" borderId="16" xfId="0" applyFont="1" applyFill="1" applyBorder="1" applyAlignment="1">
      <alignment horizontal="right" vertical="center"/>
    </xf>
    <xf numFmtId="0" fontId="3" fillId="11" borderId="15" xfId="0" applyFont="1" applyFill="1" applyBorder="1" applyAlignment="1">
      <alignment horizontal="center" vertic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0000"/>
      <color rgb="FF00CC99"/>
      <color rgb="FFFF7C80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3940132047">
    <ddeItems>
      <ddeItem name="ASKPRICE1" advise="1">
        <values>
          <value>
            <val>3675</val>
          </value>
        </values>
      </ddeItem>
      <ddeItem name="ASKVOLUME1" advise="1">
        <values>
          <value>
            <val>110</val>
          </value>
        </values>
      </ddeItem>
      <ddeItem name="BIDPRICE1" advise="1">
        <values>
          <value>
            <val>3674</val>
          </value>
        </values>
      </ddeItem>
      <ddeItem name="BIDVOLUME1" advise="1">
        <values>
          <value>
            <val>42</val>
          </value>
        </values>
      </ddeItem>
      <ddeItem name="CLOSEPRICE" advise="1"/>
      <ddeItem name="HIGH" advise="1">
        <values>
          <value>
            <val>3774.0000000000005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3675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3661</val>
          </value>
        </values>
      </ddeItem>
      <ddeItem name="LOWERLIMITPRICE" advise="1">
        <values>
          <value>
            <val>3349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-89</val>
          </value>
        </values>
      </ddeItem>
      <ddeItem name="NETCHANGERATE" advise="1">
        <values>
          <value t="str">
            <val>-2.36%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3760</val>
          </value>
        </values>
      </ddeItem>
      <ddeItem name="POSIVOL" advise="1">
        <values>
          <value>
            <val>865022</val>
          </value>
        </values>
      </ddeItem>
      <ddeItem name="POSIVOLCHANGE" advise="1">
        <values>
          <value>
            <val>82</val>
          </value>
        </values>
      </ddeItem>
      <ddeItem name="POSIVOLCHANGEDAILY" advise="1">
        <values>
          <value>
            <val>21456</val>
          </value>
        </values>
      </ddeItem>
      <ddeItem name="PRECLOSE" advise="1">
        <values>
          <value>
            <val>3760</val>
          </value>
        </values>
      </ddeItem>
      <ddeItem name="PRESETTLEPRICE" advise="1">
        <values>
          <value>
            <val>3764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353186</val>
          </value>
        </values>
      </ddeItem>
      <ddeItem name="UPDATETIME" advise="1">
        <values>
          <value t="str">
            <val>10:13:51.0</val>
          </value>
        </values>
      </ddeItem>
      <ddeItem name="UPPERLIMITPRICE" advise="1">
        <values>
          <value>
            <val>4178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2313177227">
    <ddeItems>
      <ddeItem name="ASKPRICE1" advise="1">
        <values>
          <value>
            <val>3608</val>
          </value>
        </values>
      </ddeItem>
      <ddeItem name="ASKVOLUME1" advise="1">
        <values>
          <value>
            <val>36</val>
          </value>
        </values>
      </ddeItem>
      <ddeItem name="BIDPRICE1" advise="1">
        <values>
          <value>
            <val>3606</val>
          </value>
        </values>
      </ddeItem>
      <ddeItem name="BIDVOLUME1" advise="1">
        <values>
          <value>
            <val>18</val>
          </value>
        </values>
      </ddeItem>
      <ddeItem name="CLOSEPRICE" advise="1"/>
      <ddeItem name="HIGH" advise="1">
        <values>
          <value>
            <val>3704.0000000000005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3606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3595</val>
          </value>
        </values>
      </ddeItem>
      <ddeItem name="LOWERLIMITPRICE" advise="1">
        <values>
          <value>
            <val>3284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-85</val>
          </value>
        </values>
      </ddeItem>
      <ddeItem name="NETCHANGERATE" advise="1">
        <values>
          <value t="str">
            <val>-2.30%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3688</val>
          </value>
        </values>
      </ddeItem>
      <ddeItem name="POSIVOL" advise="1">
        <values>
          <value>
            <val>60098</val>
          </value>
        </values>
      </ddeItem>
      <ddeItem name="POSIVOLCHANGE" advise="1">
        <values>
          <value>
            <val>1</val>
          </value>
        </values>
      </ddeItem>
      <ddeItem name="POSIVOLCHANGEDAILY" advise="1">
        <values>
          <value>
            <val>3191</val>
          </value>
        </values>
      </ddeItem>
      <ddeItem name="PRECLOSE" advise="1">
        <values>
          <value>
            <val>3687</val>
          </value>
        </values>
      </ddeItem>
      <ddeItem name="PRESETTLEPRICE" advise="1">
        <values>
          <value>
            <val>3691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13419</val>
          </value>
        </values>
      </ddeItem>
      <ddeItem name="UPDATETIME" advise="1">
        <values>
          <value t="str">
            <val>10:13:50.500</val>
          </value>
        </values>
      </ddeItem>
      <ddeItem name="UPPERLIMITPRICE" advise="1">
        <values>
          <value>
            <val>4097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329996922">
    <ddeItems>
      <ddeItem name="ASKPRICE1" advise="1">
        <values>
          <value>
            <val>3599</val>
          </value>
        </values>
      </ddeItem>
      <ddeItem name="ASKVOLUME1" advise="1">
        <values>
          <value>
            <val>1</val>
          </value>
        </values>
      </ddeItem>
      <ddeItem name="BIDPRICE1" advise="1">
        <values>
          <value>
            <val>3591</val>
          </value>
        </values>
      </ddeItem>
      <ddeItem name="BIDVOLUME1" advise="1">
        <values>
          <value>
            <val>1</val>
          </value>
        </values>
      </ddeItem>
      <ddeItem name="CLOSEPRICE" advise="1"/>
      <ddeItem name="HIGH" advise="1">
        <values>
          <value>
            <val>3680.0000000000005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3590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3590</val>
          </value>
        </values>
      </ddeItem>
      <ddeItem name="LOWERLIMITPRICE" advise="1">
        <values>
          <value>
            <val>3280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-96</val>
          </value>
        </values>
      </ddeItem>
      <ddeItem name="NETCHANGERATE" advise="1">
        <values>
          <value t="str">
            <val>-2.60%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3680.0000000000005</val>
          </value>
        </values>
      </ddeItem>
      <ddeItem name="POSIVOL" advise="1">
        <values>
          <value>
            <val>816</val>
          </value>
        </values>
      </ddeItem>
      <ddeItem name="POSIVOLCHANGE" advise="1">
        <values>
          <value>
            <val>0</val>
          </value>
        </values>
      </ddeItem>
      <ddeItem name="POSIVOLCHANGEDAILY" advise="1">
        <values>
          <value>
            <val>70</val>
          </value>
        </values>
      </ddeItem>
      <ddeItem name="PRECLOSE" advise="1">
        <values>
          <value>
            <val>3670</val>
          </value>
        </values>
      </ddeItem>
      <ddeItem name="PRESETTLEPRICE" advise="1">
        <values>
          <value>
            <val>3686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147</val>
          </value>
        </values>
      </ddeItem>
      <ddeItem name="UPDATETIME" advise="1">
        <values>
          <value t="str">
            <val>10:13:50.500</val>
          </value>
        </values>
      </ddeItem>
      <ddeItem name="UPPERLIMITPRICE" advise="1">
        <values>
          <value>
            <val>4091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658250047">
    <ddeItems>
      <ddeItem name="ASKPRICE1" advise="1">
        <values>
          <value>
            <val>3590</val>
          </value>
        </values>
      </ddeItem>
      <ddeItem name="ASKVOLUME1" advise="1">
        <values>
          <value>
            <val>10</val>
          </value>
        </values>
      </ddeItem>
      <ddeItem name="BIDPRICE1" advise="1">
        <values>
          <value>
            <val>3583</val>
          </value>
        </values>
      </ddeItem>
      <ddeItem name="BIDVOLUME1" advise="1">
        <values>
          <value>
            <val>3</val>
          </value>
        </values>
      </ddeItem>
      <ddeItem name="CLOSEPRICE" advise="1"/>
      <ddeItem name="HIGH" advise="1">
        <values>
          <value>
            <val>3670.0000000000005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3580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3580</val>
          </value>
        </values>
      </ddeItem>
      <ddeItem name="LOWERLIMITPRICE" advise="1">
        <values>
          <value>
            <val>3274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-99</val>
          </value>
        </values>
      </ddeItem>
      <ddeItem name="NETCHANGERATE" advise="1">
        <values>
          <value t="str">
            <val>-2.69%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3670.0000000000005</val>
          </value>
        </values>
      </ddeItem>
      <ddeItem name="POSIVOL" advise="1">
        <values>
          <value>
            <val>1748</val>
          </value>
        </values>
      </ddeItem>
      <ddeItem name="POSIVOLCHANGE" advise="1">
        <values>
          <value>
            <val>0</val>
          </value>
        </values>
      </ddeItem>
      <ddeItem name="POSIVOLCHANGEDAILY" advise="1">
        <values>
          <value>
            <val>89</val>
          </value>
        </values>
      </ddeItem>
      <ddeItem name="PRECLOSE" advise="1">
        <values>
          <value>
            <val>3654</val>
          </value>
        </values>
      </ddeItem>
      <ddeItem name="PRESETTLEPRICE" advise="1">
        <values>
          <value>
            <val>3679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151</val>
          </value>
        </values>
      </ddeItem>
      <ddeItem name="UPDATETIME" advise="1">
        <values>
          <value t="str">
            <val>10:13:51.0</val>
          </value>
        </values>
      </ddeItem>
      <ddeItem name="UPPERLIMITPRICE" advise="1">
        <values>
          <value>
            <val>4083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2830809962">
    <ddeItems>
      <ddeItem name="ASKPRICE1" advise="1">
        <values>
          <value>
            <val>3580</val>
          </value>
        </values>
      </ddeItem>
      <ddeItem name="ASKVOLUME1" advise="1">
        <values>
          <value>
            <val>10</val>
          </value>
        </values>
      </ddeItem>
      <ddeItem name="BIDPRICE1" advise="1">
        <values>
          <value>
            <val>3573</val>
          </value>
        </values>
      </ddeItem>
      <ddeItem name="BIDVOLUME1" advise="1">
        <values>
          <value>
            <val>8</val>
          </value>
        </values>
      </ddeItem>
      <ddeItem name="CLOSEPRICE" advise="1"/>
      <ddeItem name="HIGH" advise="1">
        <values>
          <value>
            <val>3668.0000000000005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3575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3570</val>
          </value>
        </values>
      </ddeItem>
      <ddeItem name="LOWERLIMITPRICE" advise="1">
        <values>
          <value>
            <val>3263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-92</val>
          </value>
        </values>
      </ddeItem>
      <ddeItem name="NETCHANGERATE" advise="1">
        <values>
          <value t="str">
            <val>-2.51%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3660.0000000000005</val>
          </value>
        </values>
      </ddeItem>
      <ddeItem name="POSIVOL" advise="1">
        <values>
          <value>
            <val>1998</val>
          </value>
        </values>
      </ddeItem>
      <ddeItem name="POSIVOLCHANGE" advise="1">
        <values>
          <value>
            <val>0</val>
          </value>
        </values>
      </ddeItem>
      <ddeItem name="POSIVOLCHANGEDAILY" advise="1">
        <values>
          <value>
            <val>140</val>
          </value>
        </values>
      </ddeItem>
      <ddeItem name="PRECLOSE" advise="1">
        <values>
          <value>
            <val>3654</val>
          </value>
        </values>
      </ddeItem>
      <ddeItem name="PRESETTLEPRICE" advise="1">
        <values>
          <value>
            <val>3667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195</val>
          </value>
        </values>
      </ddeItem>
      <ddeItem name="UPDATETIME" advise="1">
        <values>
          <value t="str">
            <val>10:13:46.500</val>
          </value>
        </values>
      </ddeItem>
      <ddeItem name="UPPERLIMITPRICE" advise="1">
        <values>
          <value>
            <val>4070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3516020936">
    <ddeItems>
      <ddeItem name="ASKPRICE1" advise="1">
        <values>
          <value>
            <val>4164</val>
          </value>
        </values>
      </ddeItem>
      <ddeItem name="ASKVOLUME1" advise="1">
        <values>
          <value>
            <val>60</val>
          </value>
        </values>
      </ddeItem>
      <ddeItem name="BIDPRICE1" advise="1">
        <values>
          <value>
            <val>4120</val>
          </value>
        </values>
      </ddeItem>
      <ddeItem name="BIDVOLUME1" advise="1">
        <values>
          <value>
            <val>90</val>
          </value>
        </values>
      </ddeItem>
      <ddeItem name="CLOSEPRICE" advise="1"/>
      <ddeItem name="HIGH" advise="1">
        <values>
          <value>
            <val>4180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4120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4090</val>
          </value>
        </values>
      </ddeItem>
      <ddeItem name="LOWERLIMITPRICE" advise="1">
        <values>
          <value>
            <val>3617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55</val>
          </value>
        </values>
      </ddeItem>
      <ddeItem name="NETCHANGERATE" advise="1">
        <values>
          <value t="str">
            <val>+1.35%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4090</val>
          </value>
        </values>
      </ddeItem>
      <ddeItem name="POSIVOL" advise="1">
        <values>
          <value>
            <val>4350</val>
          </value>
        </values>
      </ddeItem>
      <ddeItem name="POSIVOLCHANGE" advise="1">
        <values>
          <value>
            <val>0</val>
          </value>
        </values>
      </ddeItem>
      <ddeItem name="POSIVOLCHANGEDAILY" advise="1">
        <values>
          <value>
            <val>-600</val>
          </value>
        </values>
      </ddeItem>
      <ddeItem name="PRECLOSE" advise="1">
        <values>
          <value>
            <val>4090</val>
          </value>
        </values>
      </ddeItem>
      <ddeItem name="PRESETTLEPRICE" advise="1">
        <values>
          <value>
            <val>4065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960</val>
          </value>
        </values>
      </ddeItem>
      <ddeItem name="UPDATETIME" advise="1">
        <values>
          <value t="str">
            <val>10:00:28.500</val>
          </value>
        </values>
      </ddeItem>
      <ddeItem name="UPPERLIMITPRICE" advise="1">
        <values>
          <value>
            <val>4512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2374329343">
    <ddeItems>
      <ddeItem name="ASKPRICE1" advise="1">
        <values>
          <value>
            <val>3829</val>
          </value>
        </values>
      </ddeItem>
      <ddeItem name="ASKVOLUME1" advise="1">
        <values>
          <value>
            <val>1</val>
          </value>
        </values>
      </ddeItem>
      <ddeItem name="BIDPRICE1" advise="1">
        <values>
          <value>
            <val>3823</val>
          </value>
        </values>
      </ddeItem>
      <ddeItem name="BIDVOLUME1" advise="1">
        <values>
          <value>
            <val>1</val>
          </value>
        </values>
      </ddeItem>
      <ddeItem name="CLOSEPRICE" advise="1"/>
      <ddeItem name="HIGH" advise="1">
        <values>
          <value>
            <val>3910.0000000000005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3823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3816</val>
          </value>
        </values>
      </ddeItem>
      <ddeItem name="LOWERLIMITPRICE" advise="1">
        <values>
          <value>
            <val>3480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-88</val>
          </value>
        </values>
      </ddeItem>
      <ddeItem name="NETCHANGERATE" advise="1">
        <values>
          <value t="str">
            <val>-2.25%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3906</val>
          </value>
        </values>
      </ddeItem>
      <ddeItem name="POSIVOL" advise="1">
        <values>
          <value>
            <val>23415</val>
          </value>
        </values>
      </ddeItem>
      <ddeItem name="POSIVOLCHANGE" advise="1">
        <values>
          <value>
            <val>0</val>
          </value>
        </values>
      </ddeItem>
      <ddeItem name="POSIVOLCHANGEDAILY" advise="1">
        <values>
          <value>
            <val>1016</val>
          </value>
        </values>
      </ddeItem>
      <ddeItem name="PRECLOSE" advise="1">
        <values>
          <value>
            <val>3909</val>
          </value>
        </values>
      </ddeItem>
      <ddeItem name="PRESETTLEPRICE" advise="1">
        <values>
          <value>
            <val>3911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3106</val>
          </value>
        </values>
      </ddeItem>
      <ddeItem name="UPDATETIME" advise="1">
        <values>
          <value t="str">
            <val>10:13:51.0</val>
          </value>
        </values>
      </ddeItem>
      <ddeItem name="UPPERLIMITPRICE" advise="1">
        <values>
          <value>
            <val>4341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1190619049">
    <ddeItems>
      <ddeItem name="ASKPRICE1" advise="1">
        <values>
          <value>
            <val>3748</val>
          </value>
        </values>
      </ddeItem>
      <ddeItem name="ASKVOLUME1" advise="1">
        <values>
          <value>
            <val>4</val>
          </value>
        </values>
      </ddeItem>
      <ddeItem name="BIDPRICE1" advise="1">
        <values>
          <value>
            <val>3745</val>
          </value>
        </values>
      </ddeItem>
      <ddeItem name="BIDVOLUME1" advise="1">
        <values>
          <value>
            <val>5</val>
          </value>
        </values>
      </ddeItem>
      <ddeItem name="CLOSEPRICE" advise="1"/>
      <ddeItem name="HIGH" advise="1">
        <values>
          <value>
            <val>3835.0000000000005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3745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3734</val>
          </value>
        </values>
      </ddeItem>
      <ddeItem name="LOWERLIMITPRICE" advise="1">
        <values>
          <value>
            <val>3408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-85</val>
          </value>
        </values>
      </ddeItem>
      <ddeItem name="NETCHANGERATE" advise="1">
        <values>
          <value t="str">
            <val>-2.22%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3806</val>
          </value>
        </values>
      </ddeItem>
      <ddeItem name="POSIVOL" advise="1">
        <values>
          <value>
            <val>60725</val>
          </value>
        </values>
      </ddeItem>
      <ddeItem name="POSIVOLCHANGE" advise="1">
        <values>
          <value>
            <val>-6</val>
          </value>
        </values>
      </ddeItem>
      <ddeItem name="POSIVOLCHANGEDAILY" advise="1">
        <values>
          <value>
            <val>1180</val>
          </value>
        </values>
      </ddeItem>
      <ddeItem name="PRECLOSE" advise="1">
        <values>
          <value>
            <val>3820</val>
          </value>
        </values>
      </ddeItem>
      <ddeItem name="PRESETTLEPRICE" advise="1">
        <values>
          <value>
            <val>3830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11147</val>
          </value>
        </values>
      </ddeItem>
      <ddeItem name="UPDATETIME" advise="1">
        <values>
          <value t="str">
            <val>10:13:50.500</val>
          </value>
        </values>
      </ddeItem>
      <ddeItem name="UPPERLIMITPRICE" advise="1">
        <values>
          <value>
            <val>4251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4098573283">
    <ddeItems>
      <ddeItem name="ASKPRICE1" advise="1">
        <values>
          <value>
            <val>3725</val>
          </value>
        </values>
      </ddeItem>
      <ddeItem name="ASKVOLUME1" advise="1">
        <values>
          <value>
            <val>47</val>
          </value>
        </values>
      </ddeItem>
      <ddeItem name="BIDPRICE1" advise="1">
        <values>
          <value>
            <val>3723</val>
          </value>
        </values>
      </ddeItem>
      <ddeItem name="BIDVOLUME1" advise="1">
        <values>
          <value>
            <val>12</val>
          </value>
        </values>
      </ddeItem>
      <ddeItem name="CLOSEPRICE" advise="1"/>
      <ddeItem name="HIGH" advise="1">
        <values>
          <value>
            <val>3818.0000000000005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3723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3711</val>
          </value>
        </values>
      </ddeItem>
      <ddeItem name="LOWERLIMITPRICE" advise="1">
        <values>
          <value>
            <val>3399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-97</val>
          </value>
        </values>
      </ddeItem>
      <ddeItem name="NETCHANGERATE" advise="1">
        <values>
          <value t="str">
            <val>-2.54%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3790</val>
          </value>
        </values>
      </ddeItem>
      <ddeItem name="POSIVOL" advise="1">
        <values>
          <value>
            <val>18027</val>
          </value>
        </values>
      </ddeItem>
      <ddeItem name="POSIVOLCHANGE" advise="1">
        <values>
          <value>
            <val>29</val>
          </value>
        </values>
      </ddeItem>
      <ddeItem name="POSIVOLCHANGEDAILY" advise="1">
        <values>
          <value>
            <val>-5465</val>
          </value>
        </values>
      </ddeItem>
      <ddeItem name="PRECLOSE" advise="1">
        <values>
          <value>
            <val>3804</val>
          </value>
        </values>
      </ddeItem>
      <ddeItem name="PRESETTLEPRICE" advise="1">
        <values>
          <value>
            <val>3820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20642</val>
          </value>
        </values>
      </ddeItem>
      <ddeItem name="UPDATETIME" advise="1">
        <values>
          <value t="str">
            <val>10:13:50.500</val>
          </value>
        </values>
      </ddeItem>
      <ddeItem name="UPPERLIMITPRICE" advise="1">
        <values>
          <value>
            <val>4240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3908855708">
    <ddeItems>
      <ddeItem name="ASKPRICE1" advise="1">
        <values>
          <value>
            <val>3707</val>
          </value>
        </values>
      </ddeItem>
      <ddeItem name="ASKVOLUME1" advise="1">
        <values>
          <value>
            <val>6</val>
          </value>
        </values>
      </ddeItem>
      <ddeItem name="BIDPRICE1" advise="1">
        <values>
          <value>
            <val>3706</val>
          </value>
        </values>
      </ddeItem>
      <ddeItem name="BIDVOLUME1" advise="1">
        <values>
          <value>
            <val>2</val>
          </value>
        </values>
      </ddeItem>
      <ddeItem name="CLOSEPRICE" advise="1"/>
      <ddeItem name="HIGH" advise="1">
        <values>
          <value>
            <val>3805.0000000000005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3706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3694</val>
          </value>
        </values>
      </ddeItem>
      <ddeItem name="LOWERLIMITPRICE" advise="1">
        <values>
          <value>
            <val>3382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-94</val>
          </value>
        </values>
      </ddeItem>
      <ddeItem name="NETCHANGERATE" advise="1">
        <values>
          <value t="str">
            <val>-2.47%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3790</val>
          </value>
        </values>
      </ddeItem>
      <ddeItem name="POSIVOL" advise="1">
        <values>
          <value>
            <val>7810</val>
          </value>
        </values>
      </ddeItem>
      <ddeItem name="POSIVOLCHANGE" advise="1">
        <values>
          <value>
            <val>39</val>
          </value>
        </values>
      </ddeItem>
      <ddeItem name="POSIVOLCHANGEDAILY" advise="1">
        <values>
          <value>
            <val>276</val>
          </value>
        </values>
      </ddeItem>
      <ddeItem name="PRECLOSE" advise="1">
        <values>
          <value>
            <val>3790</val>
          </value>
        </values>
      </ddeItem>
      <ddeItem name="PRESETTLEPRICE" advise="1">
        <values>
          <value>
            <val>3800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6611</val>
          </value>
        </values>
      </ddeItem>
      <ddeItem name="UPDATETIME" advise="1">
        <values>
          <value t="str">
            <val>10:13:50.500</val>
          </value>
        </values>
      </ddeItem>
      <ddeItem name="UPPERLIMITPRICE" advise="1">
        <values>
          <value>
            <val>4218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3300747717">
    <ddeItems>
      <ddeItem name="ASKPRICE1" advise="1">
        <values>
          <value>
            <val>3675</val>
          </value>
        </values>
      </ddeItem>
      <ddeItem name="ASKVOLUME1" advise="1">
        <values>
          <value>
            <val>110</val>
          </value>
        </values>
      </ddeItem>
      <ddeItem name="BIDPRICE1" advise="1">
        <values>
          <value>
            <val>3674</val>
          </value>
        </values>
      </ddeItem>
      <ddeItem name="BIDVOLUME1" advise="1">
        <values>
          <value>
            <val>42</val>
          </value>
        </values>
      </ddeItem>
      <ddeItem name="CLOSEPRICE" advise="1"/>
      <ddeItem name="HIGH" advise="1">
        <values>
          <value>
            <val>3774.0000000000005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3675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3661</val>
          </value>
        </values>
      </ddeItem>
      <ddeItem name="LOWERLIMITPRICE" advise="1">
        <values>
          <value>
            <val>3349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-89</val>
          </value>
        </values>
      </ddeItem>
      <ddeItem name="NETCHANGERATE" advise="1">
        <values>
          <value t="str">
            <val>-2.36%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3760</val>
          </value>
        </values>
      </ddeItem>
      <ddeItem name="POSIVOL" advise="1">
        <values>
          <value>
            <val>865022</val>
          </value>
        </values>
      </ddeItem>
      <ddeItem name="POSIVOLCHANGE" advise="1">
        <values>
          <value>
            <val>82</val>
          </value>
        </values>
      </ddeItem>
      <ddeItem name="POSIVOLCHANGEDAILY" advise="1">
        <values>
          <value>
            <val>21456</val>
          </value>
        </values>
      </ddeItem>
      <ddeItem name="PRECLOSE" advise="1">
        <values>
          <value>
            <val>3760</val>
          </value>
        </values>
      </ddeItem>
      <ddeItem name="PRESETTLEPRICE" advise="1">
        <values>
          <value>
            <val>3764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353186</val>
          </value>
        </values>
      </ddeItem>
      <ddeItem name="UPDATETIME" advise="1">
        <values>
          <value t="str">
            <val>10:13:51.0</val>
          </value>
        </values>
      </ddeItem>
      <ddeItem name="UPPERLIMITPRICE" advise="1">
        <values>
          <value>
            <val>4178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2299597953">
    <ddeItems>
      <ddeItem name="ASKPRICE1" advise="1">
        <values>
          <value>
            <val>3656</val>
          </value>
        </values>
      </ddeItem>
      <ddeItem name="ASKVOLUME1" advise="1">
        <values>
          <value>
            <val>14</val>
          </value>
        </values>
      </ddeItem>
      <ddeItem name="BIDPRICE1" advise="1">
        <values>
          <value>
            <val>3655</val>
          </value>
        </values>
      </ddeItem>
      <ddeItem name="BIDVOLUME1" advise="1">
        <values>
          <value>
            <val>7</val>
          </value>
        </values>
      </ddeItem>
      <ddeItem name="CLOSEPRICE" advise="1"/>
      <ddeItem name="HIGH" advise="1">
        <values>
          <value>
            <val>3757.0000000000005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3655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3641</val>
          </value>
        </values>
      </ddeItem>
      <ddeItem name="LOWERLIMITPRICE" advise="1">
        <values>
          <value>
            <val>3334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-92</val>
          </value>
        </values>
      </ddeItem>
      <ddeItem name="NETCHANGERATE" advise="1">
        <values>
          <value t="str">
            <val>-2.46%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3743</val>
          </value>
        </values>
      </ddeItem>
      <ddeItem name="POSIVOL" advise="1">
        <values>
          <value>
            <val>113495</val>
          </value>
        </values>
      </ddeItem>
      <ddeItem name="POSIVOLCHANGE" advise="1">
        <values>
          <value>
            <val>-5</val>
          </value>
        </values>
      </ddeItem>
      <ddeItem name="POSIVOLCHANGEDAILY" advise="1">
        <values>
          <value>
            <val>553</val>
          </value>
        </values>
      </ddeItem>
      <ddeItem name="PRECLOSE" advise="1">
        <values>
          <value>
            <val>3743</val>
          </value>
        </values>
      </ddeItem>
      <ddeItem name="PRESETTLEPRICE" advise="1">
        <values>
          <value>
            <val>3747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27770</val>
          </value>
        </values>
      </ddeItem>
      <ddeItem name="UPDATETIME" advise="1">
        <values>
          <value t="str">
            <val>10:13:50.500</val>
          </value>
        </values>
      </ddeItem>
      <ddeItem name="UPPERLIMITPRICE" advise="1">
        <values>
          <value>
            <val>4159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ddeLink xmlns:r="http://schemas.openxmlformats.org/officeDocument/2006/relationships" ddeService="QD" ddeTopic="306831982">
    <ddeItems>
      <ddeItem name="ASKPRICE1" advise="1">
        <values>
          <value>
            <val>3646</val>
          </value>
        </values>
      </ddeItem>
      <ddeItem name="ASKVOLUME1" advise="1">
        <values>
          <value>
            <val>4</val>
          </value>
        </values>
      </ddeItem>
      <ddeItem name="BIDPRICE1" advise="1">
        <values>
          <value>
            <val>3640</val>
          </value>
        </values>
      </ddeItem>
      <ddeItem name="BIDVOLUME1" advise="1">
        <values>
          <value>
            <val>3</val>
          </value>
        </values>
      </ddeItem>
      <ddeItem name="CLOSEPRICE" advise="1"/>
      <ddeItem name="HIGH" advise="1">
        <values>
          <value>
            <val>3692.0000000000005</val>
          </value>
        </values>
      </ddeItem>
      <ddeItem name="IMPLYASKPRICE1" advise="1">
        <values>
          <value>
            <val>0</val>
          </value>
        </values>
      </ddeItem>
      <ddeItem name="IMPLYASKVOLUME1" advise="1">
        <values>
          <value>
            <val>0</val>
          </value>
        </values>
      </ddeItem>
      <ddeItem name="IMPLYBIDPRICE1" advise="1">
        <values>
          <value>
            <val>0</val>
          </value>
        </values>
      </ddeItem>
      <ddeItem name="IMPLYBIDVOLUME1" advise="1">
        <values>
          <value>
            <val>0</val>
          </value>
        </values>
      </ddeItem>
      <ddeItem name="INST_STATE" advise="1">
        <values>
          <value t="str">
            <val>连续交易</val>
          </value>
        </values>
      </ddeItem>
      <ddeItem name="LASTPRICE" advise="1">
        <values>
          <value>
            <val>3640</val>
          </value>
        </values>
      </ddeItem>
      <ddeItem name="LONGPOSITION1557932811" advise="1">
        <values>
          <value>
            <val>0</val>
          </value>
        </values>
      </ddeItem>
      <ddeItem name="LOW" advise="1">
        <values>
          <value>
            <val>3630</val>
          </value>
        </values>
      </ddeItem>
      <ddeItem name="LOWERLIMITPRICE" advise="1">
        <values>
          <value>
            <val>3325</val>
          </value>
        </values>
      </ddeItem>
      <ddeItem name="MTMPL1557932811" advise="1">
        <values>
          <value>
            <val>0</val>
          </value>
        </values>
      </ddeItem>
      <ddeItem name="NETCHANGE" advise="1">
        <values>
          <value>
            <val>-97</val>
          </value>
        </values>
      </ddeItem>
      <ddeItem name="NETCHANGERATE" advise="1">
        <values>
          <value t="str">
            <val>-2.60%</val>
          </value>
        </values>
      </ddeItem>
      <ddeItem name="NETVOLUME1557932811" advise="1">
        <values>
          <value>
            <val>0</val>
          </value>
        </values>
      </ddeItem>
      <ddeItem name="OPENPRICE" advise="1">
        <values>
          <value>
            <val>3692.0000000000005</val>
          </value>
        </values>
      </ddeItem>
      <ddeItem name="POSIVOL" advise="1">
        <values>
          <value>
            <val>497</val>
          </value>
        </values>
      </ddeItem>
      <ddeItem name="POSIVOLCHANGE" advise="1">
        <values>
          <value>
            <val>0</val>
          </value>
        </values>
      </ddeItem>
      <ddeItem name="POSIVOLCHANGEDAILY" advise="1">
        <values>
          <value>
            <val>5</val>
          </value>
        </values>
      </ddeItem>
      <ddeItem name="PRECLOSE" advise="1">
        <values>
          <value>
            <val>3717</val>
          </value>
        </values>
      </ddeItem>
      <ddeItem name="PRESETTLEPRICE" advise="1">
        <values>
          <value>
            <val>3737</val>
          </value>
        </values>
      </ddeItem>
      <ddeItem name="SETTLEPRICE" advise="1"/>
      <ddeItem name="SHORTPOSITION1557932811" advise="1">
        <values>
          <value>
            <val>0</val>
          </value>
        </values>
      </ddeItem>
      <ddeItem name="StdDocumentName" ole="1" advise="1"/>
      <ddeItem name="TRADEVOLUME" advise="1">
        <values>
          <value>
            <val>20</val>
          </value>
        </values>
      </ddeItem>
      <ddeItem name="UPDATETIME" advise="1">
        <values>
          <value t="str">
            <val>10:13:49.500</val>
          </value>
        </values>
      </ddeItem>
      <ddeItem name="UPPERLIMITPRICE" advise="1">
        <values>
          <value>
            <val>4148</val>
          </value>
        </values>
      </ddeItem>
      <ddeItem name="VOLUMEASKLOT" advise="1">
        <values>
          <value>
            <val>0</val>
          </value>
        </values>
      </ddeItem>
      <ddeItem name="VOLUMEBIDLOT" advise="1">
        <values>
          <value>
            <val>0</val>
          </value>
        </values>
      </ddeItem>
    </ddeItems>
  </ddeLin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427"/>
  <sheetViews>
    <sheetView tabSelected="1" workbookViewId="0">
      <selection activeCell="AT13" sqref="AT13"/>
    </sheetView>
  </sheetViews>
  <sheetFormatPr defaultColWidth="9" defaultRowHeight="15" x14ac:dyDescent="0.2"/>
  <cols>
    <col min="1" max="1" width="8.5" style="2" bestFit="1" customWidth="1"/>
    <col min="2" max="2" width="6" style="2" bestFit="1" customWidth="1"/>
    <col min="3" max="3" width="5.5" style="2" bestFit="1" customWidth="1"/>
    <col min="4" max="11" width="6" style="20" bestFit="1" customWidth="1"/>
    <col min="12" max="12" width="5.125" style="20" bestFit="1" customWidth="1"/>
    <col min="13" max="13" width="5.5" style="20" bestFit="1" customWidth="1"/>
    <col min="14" max="14" width="5.125" style="2" bestFit="1" customWidth="1"/>
    <col min="15" max="15" width="5.5" style="2" bestFit="1" customWidth="1"/>
    <col min="16" max="16" width="5.125" style="2" bestFit="1" customWidth="1"/>
    <col min="17" max="17" width="5.5" style="2" bestFit="1" customWidth="1"/>
    <col min="18" max="18" width="5.125" style="2" bestFit="1" customWidth="1"/>
    <col min="19" max="19" width="5.5" style="2" bestFit="1" customWidth="1"/>
    <col min="20" max="20" width="5.125" style="2" bestFit="1" customWidth="1"/>
    <col min="21" max="21" width="5.5" style="2" bestFit="1" customWidth="1"/>
    <col min="22" max="22" width="5.125" style="2" bestFit="1" customWidth="1"/>
    <col min="23" max="23" width="5.5" style="2" bestFit="1" customWidth="1"/>
    <col min="24" max="24" width="5.125" style="2" bestFit="1" customWidth="1"/>
    <col min="25" max="25" width="5.5" style="2" bestFit="1" customWidth="1"/>
    <col min="26" max="26" width="8.5" style="2" bestFit="1" customWidth="1"/>
    <col min="27" max="27" width="8.5" style="2" customWidth="1"/>
    <col min="28" max="28" width="15.375" style="2" bestFit="1" customWidth="1"/>
    <col min="29" max="29" width="13.25" style="2" bestFit="1" customWidth="1"/>
    <col min="30" max="30" width="7.375" style="2" customWidth="1"/>
    <col min="31" max="33" width="9.25" style="2" customWidth="1"/>
    <col min="34" max="34" width="6.25" style="2" bestFit="1" customWidth="1"/>
    <col min="35" max="35" width="5.5" style="2" bestFit="1" customWidth="1"/>
    <col min="36" max="36" width="8.75" style="2" customWidth="1"/>
    <col min="37" max="37" width="5.5" style="12" bestFit="1" customWidth="1"/>
    <col min="38" max="38" width="6.25" style="12" bestFit="1" customWidth="1"/>
    <col min="39" max="39" width="6.25" style="14" bestFit="1" customWidth="1"/>
    <col min="40" max="40" width="5.5" style="14" bestFit="1" customWidth="1"/>
    <col min="41" max="43" width="6.25" style="2" bestFit="1" customWidth="1"/>
    <col min="44" max="45" width="8.5" style="2" bestFit="1" customWidth="1"/>
    <col min="46" max="46" width="7.375" style="2" customWidth="1"/>
    <col min="47" max="47" width="7.375" style="2" bestFit="1" customWidth="1"/>
    <col min="48" max="48" width="9.25" style="2" customWidth="1"/>
    <col min="49" max="49" width="13.75" style="2" customWidth="1"/>
    <col min="50" max="51" width="6.25" style="2" bestFit="1" customWidth="1"/>
    <col min="52" max="53" width="6.875" style="2" bestFit="1" customWidth="1"/>
    <col min="54" max="55" width="6.25" style="2" bestFit="1" customWidth="1"/>
    <col min="56" max="56" width="7.375" style="2" customWidth="1"/>
    <col min="57" max="57" width="5.5" style="2" customWidth="1"/>
    <col min="58" max="58" width="9.25" style="2" customWidth="1"/>
    <col min="59" max="59" width="10.75" style="2" customWidth="1"/>
    <col min="60" max="60" width="7.375" style="2" bestFit="1" customWidth="1"/>
    <col min="61" max="61" width="52.875" style="2" bestFit="1" customWidth="1"/>
    <col min="62" max="62" width="5.875" style="2" customWidth="1"/>
    <col min="63" max="68" width="7.375" style="2" customWidth="1"/>
    <col min="69" max="69" width="9" style="2" customWidth="1"/>
    <col min="70" max="16384" width="9" style="2"/>
  </cols>
  <sheetData>
    <row r="1" spans="1:68" ht="15.75" thickBot="1" x14ac:dyDescent="0.25">
      <c r="B1" s="82" t="s">
        <v>2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7"/>
      <c r="Z1" s="60"/>
      <c r="AA1" s="60"/>
      <c r="AK1" s="2"/>
      <c r="AL1" s="2"/>
      <c r="AM1" s="2"/>
      <c r="AN1" s="2"/>
    </row>
    <row r="2" spans="1:68" s="1" customFormat="1" x14ac:dyDescent="0.2">
      <c r="B2" s="86" t="str">
        <f>AB4</f>
        <v>hc2305</v>
      </c>
      <c r="C2" s="85"/>
      <c r="D2" s="84" t="str">
        <f>AB5</f>
        <v>hc2306</v>
      </c>
      <c r="E2" s="86"/>
      <c r="F2" s="84" t="str">
        <f>AB6</f>
        <v>hc2307</v>
      </c>
      <c r="G2" s="86"/>
      <c r="H2" s="84" t="str">
        <f>AB7</f>
        <v>hc2308</v>
      </c>
      <c r="I2" s="86"/>
      <c r="J2" s="84" t="str">
        <f>AB8</f>
        <v>hc2309</v>
      </c>
      <c r="K2" s="86"/>
      <c r="L2" s="84" t="str">
        <f>AB9</f>
        <v>hc2310</v>
      </c>
      <c r="M2" s="86"/>
      <c r="N2" s="84" t="str">
        <f>AB10</f>
        <v>hc2311</v>
      </c>
      <c r="O2" s="85"/>
      <c r="P2" s="86" t="str">
        <f>AB11</f>
        <v>hc2312</v>
      </c>
      <c r="Q2" s="85"/>
      <c r="R2" s="86" t="str">
        <f>AB12</f>
        <v>hc2401</v>
      </c>
      <c r="S2" s="85"/>
      <c r="T2" s="86" t="str">
        <f>AB13</f>
        <v>hc2402</v>
      </c>
      <c r="U2" s="85"/>
      <c r="V2" s="86" t="str">
        <f>AB14</f>
        <v>hc2403</v>
      </c>
      <c r="W2" s="85"/>
      <c r="X2" s="84" t="str">
        <f>AB15</f>
        <v>hc2404</v>
      </c>
      <c r="Y2" s="85"/>
      <c r="Z2" s="41"/>
      <c r="AA2" s="41"/>
      <c r="AB2" s="74" t="s">
        <v>4</v>
      </c>
      <c r="AC2" s="2" t="s">
        <v>5</v>
      </c>
      <c r="AD2" s="2" t="s">
        <v>6</v>
      </c>
      <c r="AE2" s="2" t="s">
        <v>7</v>
      </c>
      <c r="AF2" s="2" t="s">
        <v>8</v>
      </c>
      <c r="AG2" s="2" t="s">
        <v>9</v>
      </c>
      <c r="AH2" s="2" t="s">
        <v>10</v>
      </c>
      <c r="AI2" s="2" t="s">
        <v>11</v>
      </c>
      <c r="AJ2" s="2" t="s">
        <v>12</v>
      </c>
      <c r="AK2" s="12" t="s">
        <v>13</v>
      </c>
      <c r="AL2" s="12" t="s">
        <v>14</v>
      </c>
      <c r="AM2" s="14" t="s">
        <v>15</v>
      </c>
      <c r="AN2" s="14" t="s">
        <v>16</v>
      </c>
      <c r="AO2" s="2" t="s">
        <v>17</v>
      </c>
      <c r="AP2" s="2" t="s">
        <v>18</v>
      </c>
      <c r="AQ2" s="2" t="s">
        <v>19</v>
      </c>
      <c r="AR2" s="2" t="s">
        <v>20</v>
      </c>
      <c r="AS2" s="2" t="s">
        <v>21</v>
      </c>
      <c r="AT2" s="2" t="s">
        <v>22</v>
      </c>
      <c r="AU2" s="2" t="s">
        <v>23</v>
      </c>
      <c r="AV2" s="2" t="s">
        <v>24</v>
      </c>
      <c r="AW2" s="2" t="s">
        <v>25</v>
      </c>
      <c r="AX2" s="2" t="s">
        <v>26</v>
      </c>
      <c r="AY2" s="2" t="s">
        <v>27</v>
      </c>
      <c r="AZ2" s="2" t="s">
        <v>28</v>
      </c>
      <c r="BA2" s="2" t="s">
        <v>29</v>
      </c>
      <c r="BB2" s="2" t="s">
        <v>30</v>
      </c>
      <c r="BC2" s="2" t="s">
        <v>31</v>
      </c>
      <c r="BD2" s="2" t="s">
        <v>32</v>
      </c>
      <c r="BE2" s="2" t="s">
        <v>33</v>
      </c>
      <c r="BF2" s="2" t="s">
        <v>34</v>
      </c>
      <c r="BG2" s="2" t="s">
        <v>35</v>
      </c>
      <c r="BH2" s="2" t="s">
        <v>36</v>
      </c>
      <c r="BI2" s="2" t="s">
        <v>37</v>
      </c>
      <c r="BJ2" s="2" t="s">
        <v>38</v>
      </c>
      <c r="BK2" s="2" t="s">
        <v>39</v>
      </c>
      <c r="BL2" s="2" t="s">
        <v>40</v>
      </c>
      <c r="BM2" s="2" t="s">
        <v>41</v>
      </c>
      <c r="BN2" s="2" t="s">
        <v>42</v>
      </c>
      <c r="BO2" s="2" t="s">
        <v>43</v>
      </c>
      <c r="BP2" s="2" t="s">
        <v>44</v>
      </c>
    </row>
    <row r="3" spans="1:68" s="1" customFormat="1" ht="15.75" thickBot="1" x14ac:dyDescent="0.25">
      <c r="A3" s="41"/>
      <c r="B3" s="61" t="s">
        <v>0</v>
      </c>
      <c r="C3" s="33" t="s">
        <v>1</v>
      </c>
      <c r="D3" s="21" t="s">
        <v>0</v>
      </c>
      <c r="E3" s="22" t="s">
        <v>1</v>
      </c>
      <c r="F3" s="21" t="s">
        <v>0</v>
      </c>
      <c r="G3" s="22" t="s">
        <v>1</v>
      </c>
      <c r="H3" s="21" t="s">
        <v>0</v>
      </c>
      <c r="I3" s="22" t="s">
        <v>1</v>
      </c>
      <c r="J3" s="21" t="s">
        <v>0</v>
      </c>
      <c r="K3" s="22" t="s">
        <v>1</v>
      </c>
      <c r="L3" s="21" t="s">
        <v>0</v>
      </c>
      <c r="M3" s="22" t="s">
        <v>1</v>
      </c>
      <c r="N3" s="6" t="s">
        <v>0</v>
      </c>
      <c r="O3" s="8" t="s">
        <v>1</v>
      </c>
      <c r="P3" s="7" t="s">
        <v>0</v>
      </c>
      <c r="Q3" s="8" t="s">
        <v>1</v>
      </c>
      <c r="R3" s="7" t="s">
        <v>0</v>
      </c>
      <c r="S3" s="8" t="s">
        <v>1</v>
      </c>
      <c r="T3" s="7" t="s">
        <v>0</v>
      </c>
      <c r="U3" s="8" t="s">
        <v>1</v>
      </c>
      <c r="V3" s="7" t="s">
        <v>0</v>
      </c>
      <c r="W3" s="8" t="s">
        <v>1</v>
      </c>
      <c r="X3" s="6" t="s">
        <v>0</v>
      </c>
      <c r="Y3" s="8" t="s">
        <v>1</v>
      </c>
      <c r="AB3" s="70" t="s">
        <v>45</v>
      </c>
      <c r="AC3" s="70" t="s">
        <v>46</v>
      </c>
      <c r="AD3" s="70" cm="1">
        <f t="array" ref="AD3">[1]!NETVOLUME1557932811</f>
        <v>0</v>
      </c>
      <c r="AE3" s="70" cm="1">
        <f t="array" ref="AE3">[1]!LONGPOSITION1557932811</f>
        <v>0</v>
      </c>
      <c r="AF3" s="70" cm="1">
        <f t="array" ref="AF3">[1]!SHORTPOSITION1557932811</f>
        <v>0</v>
      </c>
      <c r="AG3" s="70" cm="1">
        <f t="array" ref="AG3">[1]!MTMPL1557932811</f>
        <v>0</v>
      </c>
      <c r="AH3" s="70" cm="1">
        <f t="array" ref="AH3">[1]!LASTPRICE</f>
        <v>3675</v>
      </c>
      <c r="AI3" s="70" cm="1">
        <f t="array" ref="AI3">[1]!NETCHANGE</f>
        <v>-89</v>
      </c>
      <c r="AJ3" s="70" t="str" cm="1">
        <f t="array" ref="AJ3">[1]!NETCHANGERATE</f>
        <v>-2.36%</v>
      </c>
      <c r="AK3" s="71" cm="1">
        <f t="array" ref="AK3">[1]!BIDVOLUME1</f>
        <v>42</v>
      </c>
      <c r="AL3" s="71" cm="1">
        <f t="array" ref="AL3">[1]!BIDPRICE1</f>
        <v>3674</v>
      </c>
      <c r="AM3" s="72" cm="1">
        <f t="array" ref="AM3">[1]!ASKPRICE1</f>
        <v>3675</v>
      </c>
      <c r="AN3" s="72" cm="1">
        <f t="array" ref="AN3">[1]!ASKVOLUME1</f>
        <v>110</v>
      </c>
      <c r="AO3" s="70" cm="1">
        <f t="array" ref="AO3">[1]!OPENPRICE</f>
        <v>3760</v>
      </c>
      <c r="AP3" s="70" cm="1">
        <f t="array" ref="AP3">[1]!HIGH</f>
        <v>3774.0000000000005</v>
      </c>
      <c r="AQ3" s="70" cm="1">
        <f t="array" ref="AQ3">[1]!LOW</f>
        <v>3661</v>
      </c>
      <c r="AR3" s="70" cm="1">
        <f t="array" ref="AR3">[1]!TRADEVOLUME</f>
        <v>353186</v>
      </c>
      <c r="AS3" s="70" cm="1">
        <f t="array" ref="AS3">[1]!POSIVOL</f>
        <v>865022</v>
      </c>
      <c r="AT3" s="70" cm="1">
        <f t="array" ref="AT3">[1]!POSIVOLCHANGE</f>
        <v>82</v>
      </c>
      <c r="AU3" s="70" cm="1">
        <f t="array" ref="AU3">[1]!POSIVOLCHANGEDAILY</f>
        <v>21456</v>
      </c>
      <c r="AV3" s="70" t="str" cm="1">
        <f t="array" ref="AV3">[1]!INST_STATE</f>
        <v>连续交易</v>
      </c>
      <c r="AW3" s="70" t="str" cm="1">
        <f t="array" ref="AW3">[1]!UPDATETIME</f>
        <v>10:13:51.0</v>
      </c>
      <c r="AX3" s="70" cm="1">
        <f t="array" ref="AX3">[1]!UPPERLIMITPRICE</f>
        <v>4178</v>
      </c>
      <c r="AY3" s="70" cm="1">
        <f t="array" ref="AY3">[1]!LOWERLIMITPRICE</f>
        <v>3349</v>
      </c>
      <c r="AZ3" s="70" t="e" cm="1">
        <f t="array" ref="AZ3">[1]!CLOSEPRICE</f>
        <v>#N/A</v>
      </c>
      <c r="BA3" s="70" t="e" cm="1">
        <f t="array" ref="BA3">[1]!SETTLEPRICE</f>
        <v>#N/A</v>
      </c>
      <c r="BB3" s="70" cm="1">
        <f t="array" ref="BB3">[1]!PRECLOSE</f>
        <v>3760</v>
      </c>
      <c r="BC3" s="70" cm="1">
        <f t="array" ref="BC3">[1]!PRESETTLEPRICE</f>
        <v>3764</v>
      </c>
      <c r="BD3" s="70" t="s">
        <v>47</v>
      </c>
      <c r="BE3" s="70" t="s">
        <v>48</v>
      </c>
      <c r="BF3" s="70">
        <v>10</v>
      </c>
      <c r="BG3" s="70">
        <v>20231016</v>
      </c>
      <c r="BH3" s="73">
        <v>0.08</v>
      </c>
      <c r="BI3" s="70" t="s">
        <v>49</v>
      </c>
      <c r="BJ3" s="70" t="s">
        <v>50</v>
      </c>
      <c r="BK3" s="70" cm="1">
        <f t="array" ref="BK3">[1]!IMPLYBIDVOLUME1</f>
        <v>0</v>
      </c>
      <c r="BL3" s="70" cm="1">
        <f t="array" ref="BL3">[1]!IMPLYBIDPRICE1</f>
        <v>0</v>
      </c>
      <c r="BM3" s="70" cm="1">
        <f t="array" ref="BM3">[1]!IMPLYASKPRICE1</f>
        <v>0</v>
      </c>
      <c r="BN3" s="70" cm="1">
        <f t="array" ref="BN3">[1]!IMPLYASKVOLUME1</f>
        <v>0</v>
      </c>
      <c r="BO3" s="70" cm="1">
        <f t="array" ref="BO3">[1]!VOLUMEBIDLOT</f>
        <v>0</v>
      </c>
      <c r="BP3" s="70" cm="1">
        <f t="array" ref="BP3">[1]!VOLUMEASKLOT</f>
        <v>0</v>
      </c>
    </row>
    <row r="4" spans="1:68" s="1" customFormat="1" x14ac:dyDescent="0.2">
      <c r="A4" s="89" t="str">
        <f>AB4</f>
        <v>hc2305</v>
      </c>
      <c r="B4" s="30"/>
      <c r="C4" s="31"/>
      <c r="D4" s="25">
        <f>AL4-AM5</f>
        <v>291</v>
      </c>
      <c r="E4" s="27">
        <f>AM4-AL5</f>
        <v>341</v>
      </c>
      <c r="F4" s="25">
        <f>AL4-AM6</f>
        <v>372</v>
      </c>
      <c r="G4" s="27">
        <f>AM4-AL6</f>
        <v>419</v>
      </c>
      <c r="H4" s="25">
        <f>AL4-AM7</f>
        <v>395</v>
      </c>
      <c r="I4" s="27">
        <f>AM4-AL7</f>
        <v>441</v>
      </c>
      <c r="J4" s="25">
        <f>AL4-AM8</f>
        <v>413</v>
      </c>
      <c r="K4" s="27">
        <f>AM4-AL8</f>
        <v>458</v>
      </c>
      <c r="L4" s="25">
        <f>AL4-AM9</f>
        <v>445</v>
      </c>
      <c r="M4" s="27">
        <f>AM4-AL9</f>
        <v>490</v>
      </c>
      <c r="N4" s="25">
        <f>AL4-AM10</f>
        <v>464</v>
      </c>
      <c r="O4" s="28">
        <f>AM4-AL10</f>
        <v>509</v>
      </c>
      <c r="P4" s="26">
        <f>AL4-AM11</f>
        <v>474</v>
      </c>
      <c r="Q4" s="28">
        <f>AM4-AL11</f>
        <v>524</v>
      </c>
      <c r="R4" s="26">
        <f>AL4-AM12</f>
        <v>512</v>
      </c>
      <c r="S4" s="28">
        <f>AM4-AL12</f>
        <v>558</v>
      </c>
      <c r="T4" s="26">
        <f>AL4-AM13</f>
        <v>521</v>
      </c>
      <c r="U4" s="28">
        <f>AM4-AL13</f>
        <v>573</v>
      </c>
      <c r="V4" s="26">
        <f>AL4-AM14</f>
        <v>530</v>
      </c>
      <c r="W4" s="28">
        <f>AM4-AL14</f>
        <v>581</v>
      </c>
      <c r="X4" s="25">
        <f>AL4-AM15</f>
        <v>540</v>
      </c>
      <c r="Y4" s="28">
        <f>AM4-AL15</f>
        <v>591</v>
      </c>
      <c r="Z4" s="81" t="str">
        <f>AB4</f>
        <v>hc2305</v>
      </c>
      <c r="AA4" s="41"/>
      <c r="AB4" s="2" t="s">
        <v>51</v>
      </c>
      <c r="AC4" s="2" t="s">
        <v>52</v>
      </c>
      <c r="AD4" s="2" cm="1">
        <f t="array" ref="AD4">[2]!NETVOLUME1557932811</f>
        <v>0</v>
      </c>
      <c r="AE4" s="2" cm="1">
        <f t="array" ref="AE4">[2]!LONGPOSITION1557932811</f>
        <v>0</v>
      </c>
      <c r="AF4" s="2" cm="1">
        <f t="array" ref="AF4">[2]!SHORTPOSITION1557932811</f>
        <v>0</v>
      </c>
      <c r="AG4" s="2" cm="1">
        <f t="array" ref="AG4">[2]!MTMPL1557932811</f>
        <v>0</v>
      </c>
      <c r="AH4" s="2" cm="1">
        <f t="array" ref="AH4">[2]!LASTPRICE</f>
        <v>4120</v>
      </c>
      <c r="AI4" s="2" cm="1">
        <f t="array" ref="AI4">[2]!NETCHANGE</f>
        <v>55</v>
      </c>
      <c r="AJ4" s="2" t="str" cm="1">
        <f t="array" ref="AJ4">[2]!NETCHANGERATE</f>
        <v>+1.35%</v>
      </c>
      <c r="AK4" s="12" cm="1">
        <f t="array" ref="AK4">[2]!BIDVOLUME1</f>
        <v>90</v>
      </c>
      <c r="AL4" s="12" cm="1">
        <f t="array" ref="AL4">[2]!BIDPRICE1</f>
        <v>4120</v>
      </c>
      <c r="AM4" s="14" cm="1">
        <f t="array" ref="AM4">[2]!ASKPRICE1</f>
        <v>4164</v>
      </c>
      <c r="AN4" s="14" cm="1">
        <f t="array" ref="AN4">[2]!ASKVOLUME1</f>
        <v>60</v>
      </c>
      <c r="AO4" s="2" cm="1">
        <f t="array" ref="AO4">[2]!OPENPRICE</f>
        <v>4090</v>
      </c>
      <c r="AP4" s="2" cm="1">
        <f t="array" ref="AP4">[2]!HIGH</f>
        <v>4180</v>
      </c>
      <c r="AQ4" s="2" cm="1">
        <f t="array" ref="AQ4">[2]!LOW</f>
        <v>4090</v>
      </c>
      <c r="AR4" s="2" cm="1">
        <f t="array" ref="AR4">[2]!TRADEVOLUME</f>
        <v>960</v>
      </c>
      <c r="AS4" s="2" cm="1">
        <f t="array" ref="AS4">[2]!POSIVOL</f>
        <v>4350</v>
      </c>
      <c r="AT4" s="2" cm="1">
        <f t="array" ref="AT4">[2]!POSIVOLCHANGE</f>
        <v>0</v>
      </c>
      <c r="AU4" s="2" cm="1">
        <f t="array" ref="AU4">[2]!POSIVOLCHANGEDAILY</f>
        <v>-600</v>
      </c>
      <c r="AV4" s="2" t="str" cm="1">
        <f t="array" ref="AV4">[2]!INST_STATE</f>
        <v>连续交易</v>
      </c>
      <c r="AW4" s="2" t="str" cm="1">
        <f t="array" ref="AW4">[2]!UPDATETIME</f>
        <v>10:00:28.500</v>
      </c>
      <c r="AX4" s="2" cm="1">
        <f t="array" ref="AX4">[2]!UPPERLIMITPRICE</f>
        <v>4512</v>
      </c>
      <c r="AY4" s="2" cm="1">
        <f t="array" ref="AY4">[2]!LOWERLIMITPRICE</f>
        <v>3617</v>
      </c>
      <c r="AZ4" s="2" t="e" cm="1">
        <f t="array" ref="AZ4">[2]!CLOSEPRICE</f>
        <v>#N/A</v>
      </c>
      <c r="BA4" s="2" t="e" cm="1">
        <f t="array" ref="BA4">[2]!SETTLEPRICE</f>
        <v>#N/A</v>
      </c>
      <c r="BB4" s="2" cm="1">
        <f t="array" ref="BB4">[2]!PRECLOSE</f>
        <v>4090</v>
      </c>
      <c r="BC4" s="2" cm="1">
        <f t="array" ref="BC4">[2]!PRESETTLEPRICE</f>
        <v>4065</v>
      </c>
      <c r="BD4" s="2" t="s">
        <v>47</v>
      </c>
      <c r="BE4" s="2" t="s">
        <v>48</v>
      </c>
      <c r="BF4" s="2">
        <v>10</v>
      </c>
      <c r="BG4" s="2">
        <v>20230515</v>
      </c>
      <c r="BH4" s="3">
        <v>0.08</v>
      </c>
      <c r="BI4" s="2" t="s">
        <v>49</v>
      </c>
      <c r="BJ4" s="2" t="s">
        <v>50</v>
      </c>
      <c r="BK4" s="2" cm="1">
        <f t="array" ref="BK4">[2]!IMPLYBIDVOLUME1</f>
        <v>0</v>
      </c>
      <c r="BL4" s="2" cm="1">
        <f t="array" ref="BL4">[2]!IMPLYBIDPRICE1</f>
        <v>0</v>
      </c>
      <c r="BM4" s="2" cm="1">
        <f t="array" ref="BM4">[2]!IMPLYASKPRICE1</f>
        <v>0</v>
      </c>
      <c r="BN4" s="2" cm="1">
        <f t="array" ref="BN4">[2]!IMPLYASKVOLUME1</f>
        <v>0</v>
      </c>
      <c r="BO4" s="2" cm="1">
        <f t="array" ref="BO4">[2]!VOLUMEBIDLOT</f>
        <v>0</v>
      </c>
      <c r="BP4" s="2" cm="1">
        <f t="array" ref="BP4">[2]!VOLUMEASKLOT</f>
        <v>0</v>
      </c>
    </row>
    <row r="5" spans="1:68" s="1" customFormat="1" ht="15.75" thickBot="1" x14ac:dyDescent="0.25">
      <c r="A5" s="83"/>
      <c r="B5" s="30"/>
      <c r="C5" s="31"/>
      <c r="D5" s="21">
        <f>MIN(AK4,AN5)</f>
        <v>1</v>
      </c>
      <c r="E5" s="22">
        <f>MIN(AN4,AK5)</f>
        <v>1</v>
      </c>
      <c r="F5" s="23">
        <f>MIN(AK4+AN6)</f>
        <v>94</v>
      </c>
      <c r="G5" s="24">
        <f>MIN(AN4,AK6)</f>
        <v>5</v>
      </c>
      <c r="H5" s="23">
        <f>MIN(AK4+AN7)</f>
        <v>137</v>
      </c>
      <c r="I5" s="24">
        <f>MIN(AN4,AK7)</f>
        <v>12</v>
      </c>
      <c r="J5" s="23">
        <f>MIN(AK4,AN8)</f>
        <v>6</v>
      </c>
      <c r="K5" s="24">
        <f>MIN(AN4,AK8)</f>
        <v>2</v>
      </c>
      <c r="L5" s="23">
        <f>MIN(AK4,AN9)</f>
        <v>90</v>
      </c>
      <c r="M5" s="24">
        <f>MIN(AN4,AK9)</f>
        <v>42</v>
      </c>
      <c r="N5" s="4">
        <f>MIN(AK4,AN10)</f>
        <v>14</v>
      </c>
      <c r="O5" s="5">
        <f>MIN(AN4,AK10)</f>
        <v>7</v>
      </c>
      <c r="P5" s="1">
        <f>MIN(AK4,AN11)</f>
        <v>4</v>
      </c>
      <c r="Q5" s="5">
        <f>MIN(AN4,AK11)</f>
        <v>3</v>
      </c>
      <c r="R5" s="1">
        <f>MIN(AK4,AN12)</f>
        <v>36</v>
      </c>
      <c r="S5" s="5">
        <f>MIN(AN4,AK12)</f>
        <v>18</v>
      </c>
      <c r="T5" s="1">
        <f>MIN(AK4,AN13)</f>
        <v>1</v>
      </c>
      <c r="U5" s="5">
        <f>MIN(AN4,AK13)</f>
        <v>1</v>
      </c>
      <c r="V5" s="1">
        <f>MIN(AK4,AN14)</f>
        <v>10</v>
      </c>
      <c r="W5" s="5">
        <f>MIN(AN4,AK14)</f>
        <v>3</v>
      </c>
      <c r="X5" s="4">
        <f>MIN(AK4,AN15)</f>
        <v>10</v>
      </c>
      <c r="Y5" s="5">
        <f>MIN(AN4,AK15)</f>
        <v>8</v>
      </c>
      <c r="Z5" s="81"/>
      <c r="AA5" s="41"/>
      <c r="AB5" s="2" t="s">
        <v>53</v>
      </c>
      <c r="AC5" s="2" t="s">
        <v>54</v>
      </c>
      <c r="AD5" s="2" cm="1">
        <f t="array" ref="AD5">[3]!NETVOLUME1557932811</f>
        <v>0</v>
      </c>
      <c r="AE5" s="2" cm="1">
        <f t="array" ref="AE5">[3]!LONGPOSITION1557932811</f>
        <v>0</v>
      </c>
      <c r="AF5" s="2" cm="1">
        <f t="array" ref="AF5">[3]!SHORTPOSITION1557932811</f>
        <v>0</v>
      </c>
      <c r="AG5" s="2" cm="1">
        <f t="array" ref="AG5">[3]!MTMPL1557932811</f>
        <v>0</v>
      </c>
      <c r="AH5" s="2" cm="1">
        <f t="array" ref="AH5">[3]!LASTPRICE</f>
        <v>3823</v>
      </c>
      <c r="AI5" s="2" cm="1">
        <f t="array" ref="AI5">[3]!NETCHANGE</f>
        <v>-88</v>
      </c>
      <c r="AJ5" s="2" t="str" cm="1">
        <f t="array" ref="AJ5">[3]!NETCHANGERATE</f>
        <v>-2.25%</v>
      </c>
      <c r="AK5" s="12" cm="1">
        <f t="array" ref="AK5">[3]!BIDVOLUME1</f>
        <v>1</v>
      </c>
      <c r="AL5" s="12" cm="1">
        <f t="array" ref="AL5">[3]!BIDPRICE1</f>
        <v>3823</v>
      </c>
      <c r="AM5" s="14" cm="1">
        <f t="array" ref="AM5">[3]!ASKPRICE1</f>
        <v>3829</v>
      </c>
      <c r="AN5" s="14" cm="1">
        <f t="array" ref="AN5">[3]!ASKVOLUME1</f>
        <v>1</v>
      </c>
      <c r="AO5" s="2" cm="1">
        <f t="array" ref="AO5">[3]!OPENPRICE</f>
        <v>3906</v>
      </c>
      <c r="AP5" s="2" cm="1">
        <f t="array" ref="AP5">[3]!HIGH</f>
        <v>3910.0000000000005</v>
      </c>
      <c r="AQ5" s="2" cm="1">
        <f t="array" ref="AQ5">[3]!LOW</f>
        <v>3816</v>
      </c>
      <c r="AR5" s="2" cm="1">
        <f t="array" ref="AR5">[3]!TRADEVOLUME</f>
        <v>3106</v>
      </c>
      <c r="AS5" s="2" cm="1">
        <f t="array" ref="AS5">[3]!POSIVOL</f>
        <v>23415</v>
      </c>
      <c r="AT5" s="2" cm="1">
        <f t="array" ref="AT5">[3]!POSIVOLCHANGE</f>
        <v>0</v>
      </c>
      <c r="AU5" s="2" cm="1">
        <f t="array" ref="AU5">[3]!POSIVOLCHANGEDAILY</f>
        <v>1016</v>
      </c>
      <c r="AV5" s="2" t="str" cm="1">
        <f t="array" ref="AV5">[3]!INST_STATE</f>
        <v>连续交易</v>
      </c>
      <c r="AW5" s="2" t="str" cm="1">
        <f t="array" ref="AW5">[3]!UPDATETIME</f>
        <v>10:13:51.0</v>
      </c>
      <c r="AX5" s="2" cm="1">
        <f t="array" ref="AX5">[3]!UPPERLIMITPRICE</f>
        <v>4341</v>
      </c>
      <c r="AY5" s="2" cm="1">
        <f t="array" ref="AY5">[3]!LOWERLIMITPRICE</f>
        <v>3480</v>
      </c>
      <c r="AZ5" s="2" t="e" cm="1">
        <f t="array" ref="AZ5">[3]!CLOSEPRICE</f>
        <v>#N/A</v>
      </c>
      <c r="BA5" s="2" t="e" cm="1">
        <f t="array" ref="BA5">[3]!SETTLEPRICE</f>
        <v>#N/A</v>
      </c>
      <c r="BB5" s="2" cm="1">
        <f t="array" ref="BB5">[3]!PRECLOSE</f>
        <v>3909</v>
      </c>
      <c r="BC5" s="2" cm="1">
        <f t="array" ref="BC5">[3]!PRESETTLEPRICE</f>
        <v>3911</v>
      </c>
      <c r="BD5" s="2" t="s">
        <v>47</v>
      </c>
      <c r="BE5" s="2" t="s">
        <v>48</v>
      </c>
      <c r="BF5" s="2">
        <v>10</v>
      </c>
      <c r="BG5" s="2">
        <v>20230615</v>
      </c>
      <c r="BH5" s="3">
        <v>0.08</v>
      </c>
      <c r="BI5" s="2" t="s">
        <v>49</v>
      </c>
      <c r="BJ5" s="2" t="s">
        <v>50</v>
      </c>
      <c r="BK5" s="2" cm="1">
        <f t="array" ref="BK5">[3]!IMPLYBIDVOLUME1</f>
        <v>0</v>
      </c>
      <c r="BL5" s="2" cm="1">
        <f t="array" ref="BL5">[3]!IMPLYBIDPRICE1</f>
        <v>0</v>
      </c>
      <c r="BM5" s="2" cm="1">
        <f t="array" ref="BM5">[3]!IMPLYASKPRICE1</f>
        <v>0</v>
      </c>
      <c r="BN5" s="2" cm="1">
        <f t="array" ref="BN5">[3]!IMPLYASKVOLUME1</f>
        <v>0</v>
      </c>
      <c r="BO5" s="2" cm="1">
        <f t="array" ref="BO5">[3]!VOLUMEBIDLOT</f>
        <v>0</v>
      </c>
      <c r="BP5" s="2" cm="1">
        <f t="array" ref="BP5">[3]!VOLUMEASKLOT</f>
        <v>0</v>
      </c>
    </row>
    <row r="6" spans="1:68" s="1" customFormat="1" x14ac:dyDescent="0.2">
      <c r="A6" s="83" t="str">
        <f>AB5</f>
        <v>hc2306</v>
      </c>
      <c r="B6" s="49">
        <f>MIN(AK5,AN4)</f>
        <v>1</v>
      </c>
      <c r="C6" s="50">
        <f>MIN(AN5,AK4)</f>
        <v>1</v>
      </c>
      <c r="D6" s="16"/>
      <c r="E6" s="9"/>
      <c r="F6" s="25">
        <f>AL5-AM6</f>
        <v>75</v>
      </c>
      <c r="G6" s="27">
        <f>AM5-AL6</f>
        <v>84</v>
      </c>
      <c r="H6" s="25">
        <f>AL5-AM7</f>
        <v>98</v>
      </c>
      <c r="I6" s="27">
        <f>AM5-AL7</f>
        <v>106</v>
      </c>
      <c r="J6" s="25">
        <f>AL5-AM8</f>
        <v>116</v>
      </c>
      <c r="K6" s="27">
        <f>AM5-AL8</f>
        <v>123</v>
      </c>
      <c r="L6" s="25">
        <f>AL5-AM9</f>
        <v>148</v>
      </c>
      <c r="M6" s="27">
        <f>AM5-AL9</f>
        <v>155</v>
      </c>
      <c r="N6" s="25">
        <f>AL5-AM10</f>
        <v>167</v>
      </c>
      <c r="O6" s="28">
        <f>AM5-AL10</f>
        <v>174</v>
      </c>
      <c r="P6" s="26">
        <f>AL5-AM11</f>
        <v>177</v>
      </c>
      <c r="Q6" s="28">
        <f>AM5-AL11</f>
        <v>189</v>
      </c>
      <c r="R6" s="26">
        <f>AL5-AM12</f>
        <v>215</v>
      </c>
      <c r="S6" s="28">
        <f>AM5-AL12</f>
        <v>223</v>
      </c>
      <c r="T6" s="26">
        <f>AL5-AM13</f>
        <v>224</v>
      </c>
      <c r="U6" s="28">
        <f>AM5-AL13</f>
        <v>238</v>
      </c>
      <c r="V6" s="26">
        <f>AL5-AM14</f>
        <v>233</v>
      </c>
      <c r="W6" s="28">
        <f>AM5-AL14</f>
        <v>246</v>
      </c>
      <c r="X6" s="25">
        <f>AL5-AM15</f>
        <v>243</v>
      </c>
      <c r="Y6" s="28">
        <f>AM5-AL15</f>
        <v>256</v>
      </c>
      <c r="Z6" s="81" t="str">
        <f>AB5</f>
        <v>hc2306</v>
      </c>
      <c r="AA6" s="41"/>
      <c r="AB6" s="2" t="s">
        <v>55</v>
      </c>
      <c r="AC6" s="2" t="s">
        <v>56</v>
      </c>
      <c r="AD6" s="2" cm="1">
        <f t="array" ref="AD6">[4]!NETVOLUME1557932811</f>
        <v>0</v>
      </c>
      <c r="AE6" s="2" cm="1">
        <f t="array" ref="AE6">[4]!LONGPOSITION1557932811</f>
        <v>0</v>
      </c>
      <c r="AF6" s="2" cm="1">
        <f t="array" ref="AF6">[4]!SHORTPOSITION1557932811</f>
        <v>0</v>
      </c>
      <c r="AG6" s="2" cm="1">
        <f t="array" ref="AG6">[4]!MTMPL1557932811</f>
        <v>0</v>
      </c>
      <c r="AH6" s="2" cm="1">
        <f t="array" ref="AH6">[4]!LASTPRICE</f>
        <v>3745</v>
      </c>
      <c r="AI6" s="2" cm="1">
        <f t="array" ref="AI6">[4]!NETCHANGE</f>
        <v>-85</v>
      </c>
      <c r="AJ6" s="2" t="str" cm="1">
        <f t="array" ref="AJ6">[4]!NETCHANGERATE</f>
        <v>-2.22%</v>
      </c>
      <c r="AK6" s="12" cm="1">
        <f t="array" ref="AK6">[4]!BIDVOLUME1</f>
        <v>5</v>
      </c>
      <c r="AL6" s="12" cm="1">
        <f t="array" ref="AL6">[4]!BIDPRICE1</f>
        <v>3745</v>
      </c>
      <c r="AM6" s="14" cm="1">
        <f t="array" ref="AM6">[4]!ASKPRICE1</f>
        <v>3748</v>
      </c>
      <c r="AN6" s="14" cm="1">
        <f t="array" ref="AN6">[4]!ASKVOLUME1</f>
        <v>4</v>
      </c>
      <c r="AO6" s="2" cm="1">
        <f t="array" ref="AO6">[4]!OPENPRICE</f>
        <v>3806</v>
      </c>
      <c r="AP6" s="2" cm="1">
        <f t="array" ref="AP6">[4]!HIGH</f>
        <v>3835.0000000000005</v>
      </c>
      <c r="AQ6" s="2" cm="1">
        <f t="array" ref="AQ6">[4]!LOW</f>
        <v>3734</v>
      </c>
      <c r="AR6" s="2" cm="1">
        <f t="array" ref="AR6">[4]!TRADEVOLUME</f>
        <v>11147</v>
      </c>
      <c r="AS6" s="2" cm="1">
        <f t="array" ref="AS6">[4]!POSIVOL</f>
        <v>60725</v>
      </c>
      <c r="AT6" s="2" cm="1">
        <f t="array" ref="AT6">[4]!POSIVOLCHANGE</f>
        <v>-6</v>
      </c>
      <c r="AU6" s="2" cm="1">
        <f t="array" ref="AU6">[4]!POSIVOLCHANGEDAILY</f>
        <v>1180</v>
      </c>
      <c r="AV6" s="2" t="str" cm="1">
        <f t="array" ref="AV6">[4]!INST_STATE</f>
        <v>连续交易</v>
      </c>
      <c r="AW6" s="2" t="str" cm="1">
        <f t="array" ref="AW6">[4]!UPDATETIME</f>
        <v>10:13:50.500</v>
      </c>
      <c r="AX6" s="2" cm="1">
        <f t="array" ref="AX6">[4]!UPPERLIMITPRICE</f>
        <v>4251</v>
      </c>
      <c r="AY6" s="2" cm="1">
        <f t="array" ref="AY6">[4]!LOWERLIMITPRICE</f>
        <v>3408</v>
      </c>
      <c r="AZ6" s="2" t="e" cm="1">
        <f t="array" ref="AZ6">[4]!CLOSEPRICE</f>
        <v>#N/A</v>
      </c>
      <c r="BA6" s="2" t="e" cm="1">
        <f t="array" ref="BA6">[4]!SETTLEPRICE</f>
        <v>#N/A</v>
      </c>
      <c r="BB6" s="2" cm="1">
        <f t="array" ref="BB6">[4]!PRECLOSE</f>
        <v>3820</v>
      </c>
      <c r="BC6" s="2" cm="1">
        <f t="array" ref="BC6">[4]!PRESETTLEPRICE</f>
        <v>3830</v>
      </c>
      <c r="BD6" s="2" t="s">
        <v>47</v>
      </c>
      <c r="BE6" s="2" t="s">
        <v>48</v>
      </c>
      <c r="BF6" s="2">
        <v>10</v>
      </c>
      <c r="BG6" s="2">
        <v>20230717</v>
      </c>
      <c r="BH6" s="3">
        <v>0.08</v>
      </c>
      <c r="BI6" s="2" t="s">
        <v>49</v>
      </c>
      <c r="BJ6" s="2" t="s">
        <v>50</v>
      </c>
      <c r="BK6" s="2" cm="1">
        <f t="array" ref="BK6">[4]!IMPLYBIDVOLUME1</f>
        <v>0</v>
      </c>
      <c r="BL6" s="2" cm="1">
        <f t="array" ref="BL6">[4]!IMPLYBIDPRICE1</f>
        <v>0</v>
      </c>
      <c r="BM6" s="2" cm="1">
        <f t="array" ref="BM6">[4]!IMPLYASKPRICE1</f>
        <v>0</v>
      </c>
      <c r="BN6" s="2" cm="1">
        <f t="array" ref="BN6">[4]!IMPLYASKVOLUME1</f>
        <v>0</v>
      </c>
      <c r="BO6" s="2" cm="1">
        <f t="array" ref="BO6">[4]!VOLUMEBIDLOT</f>
        <v>0</v>
      </c>
      <c r="BP6" s="2" cm="1">
        <f t="array" ref="BP6">[4]!VOLUMEASKLOT</f>
        <v>0</v>
      </c>
    </row>
    <row r="7" spans="1:68" s="1" customFormat="1" ht="15.75" thickBot="1" x14ac:dyDescent="0.25">
      <c r="A7" s="83"/>
      <c r="B7" s="52">
        <f>AL5-AM4</f>
        <v>-341</v>
      </c>
      <c r="C7" s="57">
        <f>AM5-AL4</f>
        <v>-291</v>
      </c>
      <c r="D7" s="42"/>
      <c r="E7" s="34"/>
      <c r="F7" s="21">
        <f>MIN(AK5,AN6)</f>
        <v>1</v>
      </c>
      <c r="G7" s="22">
        <f>MIN(AN5,AK6)</f>
        <v>1</v>
      </c>
      <c r="H7" s="21">
        <f>MIN(AK5,AN7)</f>
        <v>1</v>
      </c>
      <c r="I7" s="22">
        <f>MIN(AN5,AK7)</f>
        <v>1</v>
      </c>
      <c r="J7" s="21">
        <f>MIN(AK5,AN8)</f>
        <v>1</v>
      </c>
      <c r="K7" s="22">
        <f>MIN(AN5,AK8)</f>
        <v>1</v>
      </c>
      <c r="L7" s="21">
        <f>MIN(AK5,AN9)</f>
        <v>1</v>
      </c>
      <c r="M7" s="22">
        <f>MIN(AN5,AK9)</f>
        <v>1</v>
      </c>
      <c r="N7" s="6">
        <f>MIN(AK5,AN10)</f>
        <v>1</v>
      </c>
      <c r="O7" s="8">
        <f>MIN(AN5,AK10)</f>
        <v>1</v>
      </c>
      <c r="P7" s="7">
        <f>MIN(AK5,AN11)</f>
        <v>1</v>
      </c>
      <c r="Q7" s="8">
        <f>MIN(AN5,AK11)</f>
        <v>1</v>
      </c>
      <c r="R7" s="7">
        <f>MIN(AK5,AN12)</f>
        <v>1</v>
      </c>
      <c r="S7" s="8">
        <f>MIN(AN5,AK12)</f>
        <v>1</v>
      </c>
      <c r="T7" s="7">
        <f>MIN(AK5,AN13)</f>
        <v>1</v>
      </c>
      <c r="U7" s="8">
        <f>MIN(AN5,AK13)</f>
        <v>1</v>
      </c>
      <c r="V7" s="7">
        <f>MIN(AK5,AN14)</f>
        <v>1</v>
      </c>
      <c r="W7" s="8">
        <f>MIN(AN5,AK14)</f>
        <v>1</v>
      </c>
      <c r="X7" s="6">
        <f>MIN(AK5,AN15)</f>
        <v>1</v>
      </c>
      <c r="Y7" s="8">
        <f>MIN(AN5,AK15)</f>
        <v>1</v>
      </c>
      <c r="Z7" s="81"/>
      <c r="AA7" s="41"/>
      <c r="AB7" s="2" t="s">
        <v>57</v>
      </c>
      <c r="AC7" s="2" t="s">
        <v>58</v>
      </c>
      <c r="AD7" s="2" cm="1">
        <f t="array" ref="AD7">[5]!NETVOLUME1557932811</f>
        <v>0</v>
      </c>
      <c r="AE7" s="2" cm="1">
        <f t="array" ref="AE7">[5]!LONGPOSITION1557932811</f>
        <v>0</v>
      </c>
      <c r="AF7" s="2" cm="1">
        <f t="array" ref="AF7">[5]!SHORTPOSITION1557932811</f>
        <v>0</v>
      </c>
      <c r="AG7" s="2" cm="1">
        <f t="array" ref="AG7">[5]!MTMPL1557932811</f>
        <v>0</v>
      </c>
      <c r="AH7" s="2" cm="1">
        <f t="array" ref="AH7">[5]!LASTPRICE</f>
        <v>3723</v>
      </c>
      <c r="AI7" s="2" cm="1">
        <f t="array" ref="AI7">[5]!NETCHANGE</f>
        <v>-97</v>
      </c>
      <c r="AJ7" s="2" t="str" cm="1">
        <f t="array" ref="AJ7">[5]!NETCHANGERATE</f>
        <v>-2.54%</v>
      </c>
      <c r="AK7" s="12" cm="1">
        <f t="array" ref="AK7">[5]!BIDVOLUME1</f>
        <v>12</v>
      </c>
      <c r="AL7" s="12" cm="1">
        <f t="array" ref="AL7">[5]!BIDPRICE1</f>
        <v>3723</v>
      </c>
      <c r="AM7" s="14" cm="1">
        <f t="array" ref="AM7">[5]!ASKPRICE1</f>
        <v>3725</v>
      </c>
      <c r="AN7" s="14" cm="1">
        <f t="array" ref="AN7">[5]!ASKVOLUME1</f>
        <v>47</v>
      </c>
      <c r="AO7" s="2" cm="1">
        <f t="array" ref="AO7">[5]!OPENPRICE</f>
        <v>3790</v>
      </c>
      <c r="AP7" s="2" cm="1">
        <f t="array" ref="AP7">[5]!HIGH</f>
        <v>3818.0000000000005</v>
      </c>
      <c r="AQ7" s="2" cm="1">
        <f t="array" ref="AQ7">[5]!LOW</f>
        <v>3711</v>
      </c>
      <c r="AR7" s="2" cm="1">
        <f t="array" ref="AR7">[5]!TRADEVOLUME</f>
        <v>20642</v>
      </c>
      <c r="AS7" s="2" cm="1">
        <f t="array" ref="AS7">[5]!POSIVOL</f>
        <v>18027</v>
      </c>
      <c r="AT7" s="2" cm="1">
        <f t="array" ref="AT7">[5]!POSIVOLCHANGE</f>
        <v>29</v>
      </c>
      <c r="AU7" s="2" cm="1">
        <f t="array" ref="AU7">[5]!POSIVOLCHANGEDAILY</f>
        <v>-5465</v>
      </c>
      <c r="AV7" s="2" t="str" cm="1">
        <f t="array" ref="AV7">[5]!INST_STATE</f>
        <v>连续交易</v>
      </c>
      <c r="AW7" s="2" t="str" cm="1">
        <f t="array" ref="AW7">[5]!UPDATETIME</f>
        <v>10:13:50.500</v>
      </c>
      <c r="AX7" s="2" cm="1">
        <f t="array" ref="AX7">[5]!UPPERLIMITPRICE</f>
        <v>4240</v>
      </c>
      <c r="AY7" s="2" cm="1">
        <f t="array" ref="AY7">[5]!LOWERLIMITPRICE</f>
        <v>3399</v>
      </c>
      <c r="AZ7" s="2" t="e" cm="1">
        <f t="array" ref="AZ7">[5]!CLOSEPRICE</f>
        <v>#N/A</v>
      </c>
      <c r="BA7" s="2" t="e" cm="1">
        <f t="array" ref="BA7">[5]!SETTLEPRICE</f>
        <v>#N/A</v>
      </c>
      <c r="BB7" s="2" cm="1">
        <f t="array" ref="BB7">[5]!PRECLOSE</f>
        <v>3804</v>
      </c>
      <c r="BC7" s="2" cm="1">
        <f t="array" ref="BC7">[5]!PRESETTLEPRICE</f>
        <v>3820</v>
      </c>
      <c r="BD7" s="2" t="s">
        <v>47</v>
      </c>
      <c r="BE7" s="2" t="s">
        <v>48</v>
      </c>
      <c r="BF7" s="2">
        <v>10</v>
      </c>
      <c r="BG7" s="2">
        <v>20230815</v>
      </c>
      <c r="BH7" s="3">
        <v>0.08</v>
      </c>
      <c r="BI7" s="2" t="s">
        <v>49</v>
      </c>
      <c r="BJ7" s="2" t="s">
        <v>50</v>
      </c>
      <c r="BK7" s="2" cm="1">
        <f t="array" ref="BK7">[5]!IMPLYBIDVOLUME1</f>
        <v>0</v>
      </c>
      <c r="BL7" s="2" cm="1">
        <f t="array" ref="BL7">[5]!IMPLYBIDPRICE1</f>
        <v>0</v>
      </c>
      <c r="BM7" s="2" cm="1">
        <f t="array" ref="BM7">[5]!IMPLYASKPRICE1</f>
        <v>0</v>
      </c>
      <c r="BN7" s="2" cm="1">
        <f t="array" ref="BN7">[5]!IMPLYASKVOLUME1</f>
        <v>0</v>
      </c>
      <c r="BO7" s="2" cm="1">
        <f t="array" ref="BO7">[5]!VOLUMEBIDLOT</f>
        <v>0</v>
      </c>
      <c r="BP7" s="2" cm="1">
        <f t="array" ref="BP7">[5]!VOLUMEASKLOT</f>
        <v>0</v>
      </c>
    </row>
    <row r="8" spans="1:68" s="1" customFormat="1" x14ac:dyDescent="0.2">
      <c r="A8" s="83" t="str">
        <f>AB6</f>
        <v>hc2307</v>
      </c>
      <c r="B8" s="46">
        <f>MIN(AK6,AN4)</f>
        <v>5</v>
      </c>
      <c r="C8" s="47">
        <f>MIN(AN6,AK4)</f>
        <v>4</v>
      </c>
      <c r="D8" s="46">
        <f>MIN(AK6,AN5)</f>
        <v>1</v>
      </c>
      <c r="E8" s="47">
        <f>MIN(AN6,AK5)</f>
        <v>1</v>
      </c>
      <c r="F8" s="16"/>
      <c r="G8" s="9"/>
      <c r="H8" s="25">
        <f>AL6-AM7</f>
        <v>20</v>
      </c>
      <c r="I8" s="27">
        <f>AM6-AL7</f>
        <v>25</v>
      </c>
      <c r="J8" s="25">
        <f>AL6-AM8</f>
        <v>38</v>
      </c>
      <c r="K8" s="27">
        <f>AM6-AL8</f>
        <v>42</v>
      </c>
      <c r="L8" s="25">
        <f>AL6-AM7</f>
        <v>20</v>
      </c>
      <c r="M8" s="27">
        <f>AM6-AL9</f>
        <v>74</v>
      </c>
      <c r="N8" s="25">
        <f>AL6-AM10</f>
        <v>89</v>
      </c>
      <c r="O8" s="28">
        <f>AM6-AL10</f>
        <v>93</v>
      </c>
      <c r="P8" s="26">
        <f>AL6-AM11</f>
        <v>99</v>
      </c>
      <c r="Q8" s="28">
        <f>AM6-AL11</f>
        <v>108</v>
      </c>
      <c r="R8" s="26">
        <f>AL6-AM12</f>
        <v>137</v>
      </c>
      <c r="S8" s="28">
        <f>AM6-AL12</f>
        <v>142</v>
      </c>
      <c r="T8" s="26">
        <f>AL6-AM13</f>
        <v>146</v>
      </c>
      <c r="U8" s="28">
        <f>AM6-AL13</f>
        <v>157</v>
      </c>
      <c r="V8" s="26">
        <f>AL6-AM14</f>
        <v>155</v>
      </c>
      <c r="W8" s="28">
        <f>AM6-AL14</f>
        <v>165</v>
      </c>
      <c r="X8" s="25">
        <f>AL6-AM15</f>
        <v>165</v>
      </c>
      <c r="Y8" s="28">
        <f>AM6-AL15</f>
        <v>175</v>
      </c>
      <c r="Z8" s="81" t="str">
        <f>AB6</f>
        <v>hc2307</v>
      </c>
      <c r="AA8" s="41"/>
      <c r="AB8" s="2" t="s">
        <v>59</v>
      </c>
      <c r="AC8" s="2" t="s">
        <v>60</v>
      </c>
      <c r="AD8" s="2" cm="1">
        <f t="array" ref="AD8">[6]!NETVOLUME1557932811</f>
        <v>0</v>
      </c>
      <c r="AE8" s="2" cm="1">
        <f t="array" ref="AE8">[6]!LONGPOSITION1557932811</f>
        <v>0</v>
      </c>
      <c r="AF8" s="2" cm="1">
        <f t="array" ref="AF8">[6]!SHORTPOSITION1557932811</f>
        <v>0</v>
      </c>
      <c r="AG8" s="2" cm="1">
        <f t="array" ref="AG8">[6]!MTMPL1557932811</f>
        <v>0</v>
      </c>
      <c r="AH8" s="2" cm="1">
        <f t="array" ref="AH8">[6]!LASTPRICE</f>
        <v>3706</v>
      </c>
      <c r="AI8" s="2" cm="1">
        <f t="array" ref="AI8">[6]!NETCHANGE</f>
        <v>-94</v>
      </c>
      <c r="AJ8" s="2" t="str" cm="1">
        <f t="array" ref="AJ8">[6]!NETCHANGERATE</f>
        <v>-2.47%</v>
      </c>
      <c r="AK8" s="12" cm="1">
        <f t="array" ref="AK8">[6]!BIDVOLUME1</f>
        <v>2</v>
      </c>
      <c r="AL8" s="12" cm="1">
        <f t="array" ref="AL8">[6]!BIDPRICE1</f>
        <v>3706</v>
      </c>
      <c r="AM8" s="14" cm="1">
        <f t="array" ref="AM8">[6]!ASKPRICE1</f>
        <v>3707</v>
      </c>
      <c r="AN8" s="14" cm="1">
        <f t="array" ref="AN8">[6]!ASKVOLUME1</f>
        <v>6</v>
      </c>
      <c r="AO8" s="2" cm="1">
        <f t="array" ref="AO8">[6]!OPENPRICE</f>
        <v>3790</v>
      </c>
      <c r="AP8" s="2" cm="1">
        <f t="array" ref="AP8">[6]!HIGH</f>
        <v>3805.0000000000005</v>
      </c>
      <c r="AQ8" s="2" cm="1">
        <f t="array" ref="AQ8">[6]!LOW</f>
        <v>3694</v>
      </c>
      <c r="AR8" s="2" cm="1">
        <f t="array" ref="AR8">[6]!TRADEVOLUME</f>
        <v>6611</v>
      </c>
      <c r="AS8" s="2" cm="1">
        <f t="array" ref="AS8">[6]!POSIVOL</f>
        <v>7810</v>
      </c>
      <c r="AT8" s="2" cm="1">
        <f t="array" ref="AT8">[6]!POSIVOLCHANGE</f>
        <v>39</v>
      </c>
      <c r="AU8" s="2" cm="1">
        <f t="array" ref="AU8">[6]!POSIVOLCHANGEDAILY</f>
        <v>276</v>
      </c>
      <c r="AV8" s="2" t="str" cm="1">
        <f t="array" ref="AV8">[6]!INST_STATE</f>
        <v>连续交易</v>
      </c>
      <c r="AW8" s="2" t="str" cm="1">
        <f t="array" ref="AW8">[6]!UPDATETIME</f>
        <v>10:13:50.500</v>
      </c>
      <c r="AX8" s="2" cm="1">
        <f t="array" ref="AX8">[6]!UPPERLIMITPRICE</f>
        <v>4218</v>
      </c>
      <c r="AY8" s="2" cm="1">
        <f t="array" ref="AY8">[6]!LOWERLIMITPRICE</f>
        <v>3382</v>
      </c>
      <c r="AZ8" s="2" t="e" cm="1">
        <f t="array" ref="AZ8">[6]!CLOSEPRICE</f>
        <v>#N/A</v>
      </c>
      <c r="BA8" s="2" t="e" cm="1">
        <f t="array" ref="BA8">[6]!SETTLEPRICE</f>
        <v>#N/A</v>
      </c>
      <c r="BB8" s="2" cm="1">
        <f t="array" ref="BB8">[6]!PRECLOSE</f>
        <v>3790</v>
      </c>
      <c r="BC8" s="2" cm="1">
        <f t="array" ref="BC8">[6]!PRESETTLEPRICE</f>
        <v>3800</v>
      </c>
      <c r="BD8" s="2" t="s">
        <v>47</v>
      </c>
      <c r="BE8" s="2" t="s">
        <v>48</v>
      </c>
      <c r="BF8" s="2">
        <v>10</v>
      </c>
      <c r="BG8" s="2">
        <v>20230915</v>
      </c>
      <c r="BH8" s="3"/>
      <c r="BI8" s="2"/>
      <c r="BJ8" s="2" t="s">
        <v>50</v>
      </c>
      <c r="BK8" s="2" cm="1">
        <f t="array" ref="BK8">[6]!IMPLYBIDVOLUME1</f>
        <v>0</v>
      </c>
      <c r="BL8" s="2" cm="1">
        <f t="array" ref="BL8">[6]!IMPLYBIDPRICE1</f>
        <v>0</v>
      </c>
      <c r="BM8" s="2" cm="1">
        <f t="array" ref="BM8">[6]!IMPLYASKPRICE1</f>
        <v>0</v>
      </c>
      <c r="BN8" s="2" cm="1">
        <f t="array" ref="BN8">[6]!IMPLYASKVOLUME1</f>
        <v>0</v>
      </c>
      <c r="BO8" s="2" cm="1">
        <f t="array" ref="BO8">[6]!VOLUMEBIDLOT</f>
        <v>0</v>
      </c>
      <c r="BP8" s="2" cm="1">
        <f t="array" ref="BP8">[6]!VOLUMEASKLOT</f>
        <v>0</v>
      </c>
    </row>
    <row r="9" spans="1:68" s="1" customFormat="1" ht="15.75" thickBot="1" x14ac:dyDescent="0.25">
      <c r="A9" s="83"/>
      <c r="B9" s="53">
        <f>AL6-AM4</f>
        <v>-419</v>
      </c>
      <c r="C9" s="56">
        <f>AM6-AL4</f>
        <v>-372</v>
      </c>
      <c r="D9" s="53">
        <f>AL6-AM5</f>
        <v>-84</v>
      </c>
      <c r="E9" s="56">
        <f>AM6-AL5</f>
        <v>-75</v>
      </c>
      <c r="F9" s="17"/>
      <c r="G9" s="29"/>
      <c r="H9" s="21">
        <f>MIN(AK6,AN7)</f>
        <v>5</v>
      </c>
      <c r="I9" s="22">
        <f>MIN(AN6,AK7)</f>
        <v>4</v>
      </c>
      <c r="J9" s="23">
        <f>MIN(AK6,AN8)</f>
        <v>5</v>
      </c>
      <c r="K9" s="24">
        <f>MIN(AN6,AK8)</f>
        <v>2</v>
      </c>
      <c r="L9" s="23">
        <f>MIN(AK6,AN9)</f>
        <v>5</v>
      </c>
      <c r="M9" s="24">
        <f>MIN(AN6,AK9)</f>
        <v>4</v>
      </c>
      <c r="N9" s="4">
        <f>MIN(AK6,AN10)</f>
        <v>5</v>
      </c>
      <c r="O9" s="5">
        <f>MIN(AN6,AK10)</f>
        <v>4</v>
      </c>
      <c r="P9" s="1">
        <f>MIN(AK6,AN11)</f>
        <v>4</v>
      </c>
      <c r="Q9" s="5">
        <f>MIN(AN6,AK11)</f>
        <v>3</v>
      </c>
      <c r="R9" s="1">
        <f>MIN(AK6,AN12)</f>
        <v>5</v>
      </c>
      <c r="S9" s="5">
        <f>MIN(AN6,AK12)</f>
        <v>4</v>
      </c>
      <c r="T9" s="1">
        <f>MIN(AK6,AN13)</f>
        <v>1</v>
      </c>
      <c r="U9" s="5">
        <f>MIN(AN6,AK13)</f>
        <v>1</v>
      </c>
      <c r="V9" s="1">
        <f>MIN(AK6,AN14)</f>
        <v>5</v>
      </c>
      <c r="W9" s="5">
        <f>MIN(AN6,AK14)</f>
        <v>3</v>
      </c>
      <c r="X9" s="4">
        <f>MIN(AK6,AN15)</f>
        <v>5</v>
      </c>
      <c r="Y9" s="5">
        <f>MIN(AN6,AK15)</f>
        <v>4</v>
      </c>
      <c r="Z9" s="81"/>
      <c r="AA9" s="41"/>
      <c r="AB9" s="2" t="s">
        <v>61</v>
      </c>
      <c r="AC9" s="2" t="s">
        <v>62</v>
      </c>
      <c r="AD9" s="2" cm="1">
        <f t="array" ref="AD9">[7]!NETVOLUME1557932811</f>
        <v>0</v>
      </c>
      <c r="AE9" s="2" cm="1">
        <f t="array" ref="AE9">[7]!LONGPOSITION1557932811</f>
        <v>0</v>
      </c>
      <c r="AF9" s="2" cm="1">
        <f t="array" ref="AF9">[7]!SHORTPOSITION1557932811</f>
        <v>0</v>
      </c>
      <c r="AG9" s="2" cm="1">
        <f t="array" ref="AG9">[7]!MTMPL1557932811</f>
        <v>0</v>
      </c>
      <c r="AH9" s="2" cm="1">
        <f t="array" ref="AH9">[7]!LASTPRICE</f>
        <v>3675</v>
      </c>
      <c r="AI9" s="2" cm="1">
        <f t="array" ref="AI9">[7]!NETCHANGE</f>
        <v>-89</v>
      </c>
      <c r="AJ9" s="2" t="str" cm="1">
        <f t="array" ref="AJ9">[7]!NETCHANGERATE</f>
        <v>-2.36%</v>
      </c>
      <c r="AK9" s="12" cm="1">
        <f t="array" ref="AK9">[7]!BIDVOLUME1</f>
        <v>42</v>
      </c>
      <c r="AL9" s="12" cm="1">
        <f t="array" ref="AL9">[7]!BIDPRICE1</f>
        <v>3674</v>
      </c>
      <c r="AM9" s="14" cm="1">
        <f t="array" ref="AM9">[7]!ASKPRICE1</f>
        <v>3675</v>
      </c>
      <c r="AN9" s="14" cm="1">
        <f t="array" ref="AN9">[7]!ASKVOLUME1</f>
        <v>110</v>
      </c>
      <c r="AO9" s="2" cm="1">
        <f t="array" ref="AO9">[7]!OPENPRICE</f>
        <v>3760</v>
      </c>
      <c r="AP9" s="2" cm="1">
        <f t="array" ref="AP9">[7]!HIGH</f>
        <v>3774.0000000000005</v>
      </c>
      <c r="AQ9" s="2" cm="1">
        <f t="array" ref="AQ9">[7]!LOW</f>
        <v>3661</v>
      </c>
      <c r="AR9" s="2" cm="1">
        <f t="array" ref="AR9">[7]!TRADEVOLUME</f>
        <v>353186</v>
      </c>
      <c r="AS9" s="2" cm="1">
        <f t="array" ref="AS9">[7]!POSIVOL</f>
        <v>865022</v>
      </c>
      <c r="AT9" s="2" cm="1">
        <f t="array" ref="AT9">[7]!POSIVOLCHANGE</f>
        <v>82</v>
      </c>
      <c r="AU9" s="2" cm="1">
        <f t="array" ref="AU9">[7]!POSIVOLCHANGEDAILY</f>
        <v>21456</v>
      </c>
      <c r="AV9" s="2" t="str" cm="1">
        <f t="array" ref="AV9">[7]!INST_STATE</f>
        <v>连续交易</v>
      </c>
      <c r="AW9" s="2" t="str" cm="1">
        <f t="array" ref="AW9">[7]!UPDATETIME</f>
        <v>10:13:51.0</v>
      </c>
      <c r="AX9" s="2" cm="1">
        <f t="array" ref="AX9">[7]!UPPERLIMITPRICE</f>
        <v>4178</v>
      </c>
      <c r="AY9" s="2" cm="1">
        <f t="array" ref="AY9">[7]!LOWERLIMITPRICE</f>
        <v>3349</v>
      </c>
      <c r="AZ9" s="2" t="e" cm="1">
        <f t="array" ref="AZ9">[7]!CLOSEPRICE</f>
        <v>#N/A</v>
      </c>
      <c r="BA9" s="2" t="e" cm="1">
        <f t="array" ref="BA9">[7]!SETTLEPRICE</f>
        <v>#N/A</v>
      </c>
      <c r="BB9" s="2" cm="1">
        <f t="array" ref="BB9">[7]!PRECLOSE</f>
        <v>3760</v>
      </c>
      <c r="BC9" s="2" cm="1">
        <f t="array" ref="BC9">[7]!PRESETTLEPRICE</f>
        <v>3764</v>
      </c>
      <c r="BD9" s="2" t="s">
        <v>47</v>
      </c>
      <c r="BE9" s="2" t="s">
        <v>48</v>
      </c>
      <c r="BF9" s="2">
        <v>10</v>
      </c>
      <c r="BG9" s="2">
        <v>20231016</v>
      </c>
      <c r="BH9" s="3">
        <v>0.08</v>
      </c>
      <c r="BI9" s="2" t="s">
        <v>49</v>
      </c>
      <c r="BJ9" s="2" t="s">
        <v>50</v>
      </c>
      <c r="BK9" s="2" cm="1">
        <f t="array" ref="BK9">[7]!IMPLYBIDVOLUME1</f>
        <v>0</v>
      </c>
      <c r="BL9" s="2" cm="1">
        <f t="array" ref="BL9">[7]!IMPLYBIDPRICE1</f>
        <v>0</v>
      </c>
      <c r="BM9" s="2" cm="1">
        <f t="array" ref="BM9">[7]!IMPLYASKPRICE1</f>
        <v>0</v>
      </c>
      <c r="BN9" s="2" cm="1">
        <f t="array" ref="BN9">[7]!IMPLYASKVOLUME1</f>
        <v>0</v>
      </c>
      <c r="BO9" s="2" cm="1">
        <f t="array" ref="BO9">[7]!VOLUMEBIDLOT</f>
        <v>0</v>
      </c>
      <c r="BP9" s="2" cm="1">
        <f t="array" ref="BP9">[7]!VOLUMEASKLOT</f>
        <v>0</v>
      </c>
    </row>
    <row r="10" spans="1:68" s="1" customFormat="1" x14ac:dyDescent="0.2">
      <c r="A10" s="83" t="str">
        <f>AB7</f>
        <v>hc2308</v>
      </c>
      <c r="B10" s="49">
        <f>MIN(AK7,AN4)</f>
        <v>12</v>
      </c>
      <c r="C10" s="50">
        <f>MIN(AN7,AK4)</f>
        <v>47</v>
      </c>
      <c r="D10" s="49">
        <f>MIN(AK7,AN5)</f>
        <v>1</v>
      </c>
      <c r="E10" s="51">
        <f>MIN(AN7,AK5)</f>
        <v>1</v>
      </c>
      <c r="F10" s="49">
        <f>MIN(AK7,AN6)</f>
        <v>4</v>
      </c>
      <c r="G10" s="51">
        <f>MIN(AN7,AK6)</f>
        <v>5</v>
      </c>
      <c r="H10" s="16"/>
      <c r="I10" s="9"/>
      <c r="J10" s="25">
        <f>AL7-AM8</f>
        <v>16</v>
      </c>
      <c r="K10" s="27">
        <f>AM7-AL8</f>
        <v>19</v>
      </c>
      <c r="L10" s="25">
        <f>AL7-AM9</f>
        <v>48</v>
      </c>
      <c r="M10" s="27">
        <f>AM7-AL9</f>
        <v>51</v>
      </c>
      <c r="N10" s="25">
        <f>AL7-AM10</f>
        <v>67</v>
      </c>
      <c r="O10" s="28">
        <f>AM7-AL10</f>
        <v>70</v>
      </c>
      <c r="P10" s="26">
        <f>AL7-AM11</f>
        <v>77</v>
      </c>
      <c r="Q10" s="28">
        <f>AM7-AL11</f>
        <v>85</v>
      </c>
      <c r="R10" s="26">
        <f>AL7-AM12</f>
        <v>115</v>
      </c>
      <c r="S10" s="28">
        <f>AM7-AL12</f>
        <v>119</v>
      </c>
      <c r="T10" s="26">
        <f>AL7-AM13</f>
        <v>124</v>
      </c>
      <c r="U10" s="28">
        <f>AM7-AL13</f>
        <v>134</v>
      </c>
      <c r="V10" s="26">
        <f>AL7-AM14</f>
        <v>133</v>
      </c>
      <c r="W10" s="28">
        <f>AM7-AL14</f>
        <v>142</v>
      </c>
      <c r="X10" s="25">
        <f>AL7-AM15</f>
        <v>143</v>
      </c>
      <c r="Y10" s="28">
        <f>AM7-AL15</f>
        <v>152</v>
      </c>
      <c r="Z10" s="81" t="str">
        <f>AB7</f>
        <v>hc2308</v>
      </c>
      <c r="AA10" s="41"/>
      <c r="AB10" s="2" t="s">
        <v>63</v>
      </c>
      <c r="AC10" s="2" t="s">
        <v>64</v>
      </c>
      <c r="AD10" s="2" cm="1">
        <f t="array" ref="AD10">[8]!NETVOLUME1557932811</f>
        <v>0</v>
      </c>
      <c r="AE10" s="2" cm="1">
        <f t="array" ref="AE10">[8]!LONGPOSITION1557932811</f>
        <v>0</v>
      </c>
      <c r="AF10" s="2" cm="1">
        <f t="array" ref="AF10">[8]!SHORTPOSITION1557932811</f>
        <v>0</v>
      </c>
      <c r="AG10" s="2" cm="1">
        <f t="array" ref="AG10">[8]!MTMPL1557932811</f>
        <v>0</v>
      </c>
      <c r="AH10" s="2" cm="1">
        <f t="array" ref="AH10">[8]!LASTPRICE</f>
        <v>3655</v>
      </c>
      <c r="AI10" s="2" cm="1">
        <f t="array" ref="AI10">[8]!NETCHANGE</f>
        <v>-92</v>
      </c>
      <c r="AJ10" s="2" t="str" cm="1">
        <f t="array" ref="AJ10">[8]!NETCHANGERATE</f>
        <v>-2.46%</v>
      </c>
      <c r="AK10" s="12" cm="1">
        <f t="array" ref="AK10">[8]!BIDVOLUME1</f>
        <v>7</v>
      </c>
      <c r="AL10" s="12" cm="1">
        <f t="array" ref="AL10">[8]!BIDPRICE1</f>
        <v>3655</v>
      </c>
      <c r="AM10" s="14" cm="1">
        <f t="array" ref="AM10">[8]!ASKPRICE1</f>
        <v>3656</v>
      </c>
      <c r="AN10" s="14" cm="1">
        <f t="array" ref="AN10">[8]!ASKVOLUME1</f>
        <v>14</v>
      </c>
      <c r="AO10" s="2" cm="1">
        <f t="array" ref="AO10">[8]!OPENPRICE</f>
        <v>3743</v>
      </c>
      <c r="AP10" s="2" cm="1">
        <f t="array" ref="AP10">[8]!HIGH</f>
        <v>3757.0000000000005</v>
      </c>
      <c r="AQ10" s="2" cm="1">
        <f t="array" ref="AQ10">[8]!LOW</f>
        <v>3641</v>
      </c>
      <c r="AR10" s="2" cm="1">
        <f t="array" ref="AR10">[8]!TRADEVOLUME</f>
        <v>27770</v>
      </c>
      <c r="AS10" s="2" cm="1">
        <f t="array" ref="AS10">[8]!POSIVOL</f>
        <v>113495</v>
      </c>
      <c r="AT10" s="2" cm="1">
        <f t="array" ref="AT10">[8]!POSIVOLCHANGE</f>
        <v>-5</v>
      </c>
      <c r="AU10" s="2" cm="1">
        <f t="array" ref="AU10">[8]!POSIVOLCHANGEDAILY</f>
        <v>553</v>
      </c>
      <c r="AV10" s="2" t="str" cm="1">
        <f t="array" ref="AV10">[8]!INST_STATE</f>
        <v>连续交易</v>
      </c>
      <c r="AW10" s="2" t="str" cm="1">
        <f t="array" ref="AW10">[8]!UPDATETIME</f>
        <v>10:13:50.500</v>
      </c>
      <c r="AX10" s="2" cm="1">
        <f t="array" ref="AX10">[8]!UPPERLIMITPRICE</f>
        <v>4159</v>
      </c>
      <c r="AY10" s="2" cm="1">
        <f t="array" ref="AY10">[8]!LOWERLIMITPRICE</f>
        <v>3334</v>
      </c>
      <c r="AZ10" s="2" t="e" cm="1">
        <f t="array" ref="AZ10">[8]!CLOSEPRICE</f>
        <v>#N/A</v>
      </c>
      <c r="BA10" s="2" t="e" cm="1">
        <f t="array" ref="BA10">[8]!SETTLEPRICE</f>
        <v>#N/A</v>
      </c>
      <c r="BB10" s="2" cm="1">
        <f t="array" ref="BB10">[8]!PRECLOSE</f>
        <v>3743</v>
      </c>
      <c r="BC10" s="2" cm="1">
        <f t="array" ref="BC10">[8]!PRESETTLEPRICE</f>
        <v>3747</v>
      </c>
      <c r="BD10" s="2" t="s">
        <v>47</v>
      </c>
      <c r="BE10" s="2" t="s">
        <v>48</v>
      </c>
      <c r="BF10" s="2">
        <v>10</v>
      </c>
      <c r="BG10" s="2">
        <v>20231115</v>
      </c>
      <c r="BH10" s="3">
        <v>0.08</v>
      </c>
      <c r="BI10" s="2" t="s">
        <v>49</v>
      </c>
      <c r="BJ10" s="2" t="s">
        <v>50</v>
      </c>
      <c r="BK10" s="2" cm="1">
        <f t="array" ref="BK10">[8]!IMPLYBIDVOLUME1</f>
        <v>0</v>
      </c>
      <c r="BL10" s="2" cm="1">
        <f t="array" ref="BL10">[8]!IMPLYBIDPRICE1</f>
        <v>0</v>
      </c>
      <c r="BM10" s="2" cm="1">
        <f t="array" ref="BM10">[8]!IMPLYASKPRICE1</f>
        <v>0</v>
      </c>
      <c r="BN10" s="2" cm="1">
        <f t="array" ref="BN10">[8]!IMPLYASKVOLUME1</f>
        <v>0</v>
      </c>
      <c r="BO10" s="2" cm="1">
        <f t="array" ref="BO10">[8]!VOLUMEBIDLOT</f>
        <v>0</v>
      </c>
      <c r="BP10" s="2" cm="1">
        <f t="array" ref="BP10">[8]!VOLUMEASKLOT</f>
        <v>0</v>
      </c>
    </row>
    <row r="11" spans="1:68" s="1" customFormat="1" ht="15.75" thickBot="1" x14ac:dyDescent="0.25">
      <c r="A11" s="83"/>
      <c r="B11" s="52">
        <f>AL7-AM4</f>
        <v>-441</v>
      </c>
      <c r="C11" s="57">
        <f>AM7-AL4</f>
        <v>-395</v>
      </c>
      <c r="D11" s="52">
        <f>AL7-AM5</f>
        <v>-106</v>
      </c>
      <c r="E11" s="59">
        <f>AM7-AL5</f>
        <v>-98</v>
      </c>
      <c r="F11" s="52">
        <f>AL7-AM6</f>
        <v>-25</v>
      </c>
      <c r="G11" s="59">
        <f>AM7-AL6</f>
        <v>-20</v>
      </c>
      <c r="H11" s="42"/>
      <c r="I11" s="34"/>
      <c r="J11" s="21">
        <f>MIN(AK7,AN8)</f>
        <v>6</v>
      </c>
      <c r="K11" s="22">
        <f>MIN(AN7,AK8)</f>
        <v>2</v>
      </c>
      <c r="L11" s="21">
        <f>MIN(AK7,AN9)</f>
        <v>12</v>
      </c>
      <c r="M11" s="22">
        <f>MIN(AN7,AK9)</f>
        <v>42</v>
      </c>
      <c r="N11" s="6">
        <f>MIN(AK7,AN10)</f>
        <v>12</v>
      </c>
      <c r="O11" s="8">
        <f>MIN(AN7,AK10)</f>
        <v>7</v>
      </c>
      <c r="P11" s="7">
        <f>MIN(AK7,AN11)</f>
        <v>4</v>
      </c>
      <c r="Q11" s="8">
        <f>MIN(AN7,AK11)</f>
        <v>3</v>
      </c>
      <c r="R11" s="7">
        <f>MIN(AK7,AN12)</f>
        <v>12</v>
      </c>
      <c r="S11" s="8">
        <f>MIN(AN7,AK12)</f>
        <v>18</v>
      </c>
      <c r="T11" s="7">
        <f>MIN(AK7,AN13)</f>
        <v>1</v>
      </c>
      <c r="U11" s="8">
        <f>MIN(AN7,AK13)</f>
        <v>1</v>
      </c>
      <c r="V11" s="7">
        <f>MIN(AK7,AN14)</f>
        <v>10</v>
      </c>
      <c r="W11" s="8">
        <f>MIN(AN7,AK14)</f>
        <v>3</v>
      </c>
      <c r="X11" s="6">
        <f>MIN(AK7,AN15)</f>
        <v>10</v>
      </c>
      <c r="Y11" s="8">
        <f>MIN(AN7,AK15)</f>
        <v>8</v>
      </c>
      <c r="Z11" s="81"/>
      <c r="AA11" s="41"/>
      <c r="AB11" s="2" t="s">
        <v>65</v>
      </c>
      <c r="AC11" s="2" t="s">
        <v>66</v>
      </c>
      <c r="AD11" s="2" cm="1">
        <f t="array" ref="AD11">[9]!NETVOLUME1557932811</f>
        <v>0</v>
      </c>
      <c r="AE11" s="2" cm="1">
        <f t="array" ref="AE11">[9]!LONGPOSITION1557932811</f>
        <v>0</v>
      </c>
      <c r="AF11" s="2" cm="1">
        <f t="array" ref="AF11">[9]!SHORTPOSITION1557932811</f>
        <v>0</v>
      </c>
      <c r="AG11" s="2" cm="1">
        <f t="array" ref="AG11">[9]!MTMPL1557932811</f>
        <v>0</v>
      </c>
      <c r="AH11" s="2" cm="1">
        <f t="array" ref="AH11">[9]!LASTPRICE</f>
        <v>3640</v>
      </c>
      <c r="AI11" s="2" cm="1">
        <f t="array" ref="AI11">[9]!NETCHANGE</f>
        <v>-97</v>
      </c>
      <c r="AJ11" s="2" t="str" cm="1">
        <f t="array" ref="AJ11">[9]!NETCHANGERATE</f>
        <v>-2.60%</v>
      </c>
      <c r="AK11" s="12" cm="1">
        <f t="array" ref="AK11">[9]!BIDVOLUME1</f>
        <v>3</v>
      </c>
      <c r="AL11" s="12" cm="1">
        <f t="array" ref="AL11">[9]!BIDPRICE1</f>
        <v>3640</v>
      </c>
      <c r="AM11" s="14" cm="1">
        <f t="array" ref="AM11">[9]!ASKPRICE1</f>
        <v>3646</v>
      </c>
      <c r="AN11" s="14" cm="1">
        <f t="array" ref="AN11">[9]!ASKVOLUME1</f>
        <v>4</v>
      </c>
      <c r="AO11" s="2" cm="1">
        <f t="array" ref="AO11">[9]!OPENPRICE</f>
        <v>3692.0000000000005</v>
      </c>
      <c r="AP11" s="2" cm="1">
        <f t="array" ref="AP11">[9]!HIGH</f>
        <v>3692.0000000000005</v>
      </c>
      <c r="AQ11" s="2" cm="1">
        <f t="array" ref="AQ11">[9]!LOW</f>
        <v>3630</v>
      </c>
      <c r="AR11" s="2" cm="1">
        <f t="array" ref="AR11">[9]!TRADEVOLUME</f>
        <v>20</v>
      </c>
      <c r="AS11" s="2" cm="1">
        <f t="array" ref="AS11">[9]!POSIVOL</f>
        <v>497</v>
      </c>
      <c r="AT11" s="2" cm="1">
        <f t="array" ref="AT11">[9]!POSIVOLCHANGE</f>
        <v>0</v>
      </c>
      <c r="AU11" s="2" cm="1">
        <f t="array" ref="AU11">[9]!POSIVOLCHANGEDAILY</f>
        <v>5</v>
      </c>
      <c r="AV11" s="2" t="str" cm="1">
        <f t="array" ref="AV11">[9]!INST_STATE</f>
        <v>连续交易</v>
      </c>
      <c r="AW11" s="2" t="str" cm="1">
        <f t="array" ref="AW11">[9]!UPDATETIME</f>
        <v>10:13:49.500</v>
      </c>
      <c r="AX11" s="2" cm="1">
        <f t="array" ref="AX11">[9]!UPPERLIMITPRICE</f>
        <v>4148</v>
      </c>
      <c r="AY11" s="2" cm="1">
        <f t="array" ref="AY11">[9]!LOWERLIMITPRICE</f>
        <v>3325</v>
      </c>
      <c r="AZ11" s="2" t="e" cm="1">
        <f t="array" ref="AZ11">[9]!CLOSEPRICE</f>
        <v>#N/A</v>
      </c>
      <c r="BA11" s="2" t="e" cm="1">
        <f t="array" ref="BA11">[9]!SETTLEPRICE</f>
        <v>#N/A</v>
      </c>
      <c r="BB11" s="2" cm="1">
        <f t="array" ref="BB11">[9]!PRECLOSE</f>
        <v>3717</v>
      </c>
      <c r="BC11" s="2" cm="1">
        <f t="array" ref="BC11">[9]!PRESETTLEPRICE</f>
        <v>3737</v>
      </c>
      <c r="BD11" s="2" t="s">
        <v>47</v>
      </c>
      <c r="BE11" s="2" t="s">
        <v>48</v>
      </c>
      <c r="BF11" s="2">
        <v>10</v>
      </c>
      <c r="BG11" s="2">
        <v>20231215</v>
      </c>
      <c r="BH11" s="3">
        <v>0.08</v>
      </c>
      <c r="BI11" s="2" t="s">
        <v>49</v>
      </c>
      <c r="BJ11" s="2" t="s">
        <v>50</v>
      </c>
      <c r="BK11" s="2" cm="1">
        <f t="array" ref="BK11">[9]!IMPLYBIDVOLUME1</f>
        <v>0</v>
      </c>
      <c r="BL11" s="2" cm="1">
        <f t="array" ref="BL11">[9]!IMPLYBIDPRICE1</f>
        <v>0</v>
      </c>
      <c r="BM11" s="2" cm="1">
        <f t="array" ref="BM11">[9]!IMPLYASKPRICE1</f>
        <v>0</v>
      </c>
      <c r="BN11" s="2" cm="1">
        <f t="array" ref="BN11">[9]!IMPLYASKVOLUME1</f>
        <v>0</v>
      </c>
      <c r="BO11" s="2" cm="1">
        <f t="array" ref="BO11">[9]!VOLUMEBIDLOT</f>
        <v>0</v>
      </c>
      <c r="BP11" s="2" cm="1">
        <f t="array" ref="BP11">[9]!VOLUMEASKLOT</f>
        <v>0</v>
      </c>
    </row>
    <row r="12" spans="1:68" s="1" customFormat="1" x14ac:dyDescent="0.2">
      <c r="A12" s="83" t="str">
        <f>AB8</f>
        <v>hc2309</v>
      </c>
      <c r="B12" s="46">
        <f>MIN(AK8,AN4)</f>
        <v>2</v>
      </c>
      <c r="C12" s="47">
        <f>MIN(AN8,AK4)</f>
        <v>6</v>
      </c>
      <c r="D12" s="46">
        <f>MIN(AK8,AN5)</f>
        <v>1</v>
      </c>
      <c r="E12" s="48">
        <f>MIN(AN8,AK5)</f>
        <v>1</v>
      </c>
      <c r="F12" s="46">
        <f>MIN(AK8,AN6)</f>
        <v>2</v>
      </c>
      <c r="G12" s="48">
        <f>MIN(AN8,AK6)</f>
        <v>5</v>
      </c>
      <c r="H12" s="46">
        <f>MIN(AK8,AN7)</f>
        <v>2</v>
      </c>
      <c r="I12" s="47">
        <f>MIN(AN8,AK7)</f>
        <v>6</v>
      </c>
      <c r="J12" s="16"/>
      <c r="K12" s="9"/>
      <c r="L12" s="25">
        <f>AL8-AM9</f>
        <v>31</v>
      </c>
      <c r="M12" s="27">
        <f>AM8-AL9</f>
        <v>33</v>
      </c>
      <c r="N12" s="25">
        <f>AL8-AM10</f>
        <v>50</v>
      </c>
      <c r="O12" s="28">
        <f>AM8-AL10</f>
        <v>52</v>
      </c>
      <c r="P12" s="26">
        <f>AL8-AM11</f>
        <v>60</v>
      </c>
      <c r="Q12" s="28">
        <f>AM8-AL11</f>
        <v>67</v>
      </c>
      <c r="R12" s="26">
        <f>AL8-AM12</f>
        <v>98</v>
      </c>
      <c r="S12" s="28">
        <f>AM8-AL12</f>
        <v>101</v>
      </c>
      <c r="T12" s="26">
        <f>AL8-AM13</f>
        <v>107</v>
      </c>
      <c r="U12" s="28">
        <f>AM8-AL13</f>
        <v>116</v>
      </c>
      <c r="V12" s="26">
        <f>AL8-AM14</f>
        <v>116</v>
      </c>
      <c r="W12" s="28">
        <f>AM8-AL14</f>
        <v>124</v>
      </c>
      <c r="X12" s="25">
        <f>AL8-AM15</f>
        <v>126</v>
      </c>
      <c r="Y12" s="28">
        <f>AM8-AL15</f>
        <v>134</v>
      </c>
      <c r="Z12" s="81" t="str">
        <f>AB8</f>
        <v>hc2309</v>
      </c>
      <c r="AA12" s="41"/>
      <c r="AB12" s="2" t="s">
        <v>67</v>
      </c>
      <c r="AC12" s="2" t="s">
        <v>68</v>
      </c>
      <c r="AD12" s="2" cm="1">
        <f t="array" ref="AD12">[10]!NETVOLUME1557932811</f>
        <v>0</v>
      </c>
      <c r="AE12" s="2" cm="1">
        <f t="array" ref="AE12">[10]!LONGPOSITION1557932811</f>
        <v>0</v>
      </c>
      <c r="AF12" s="2" cm="1">
        <f t="array" ref="AF12">[10]!SHORTPOSITION1557932811</f>
        <v>0</v>
      </c>
      <c r="AG12" s="2" cm="1">
        <f t="array" ref="AG12">[10]!MTMPL1557932811</f>
        <v>0</v>
      </c>
      <c r="AH12" s="2" cm="1">
        <f t="array" ref="AH12">[10]!LASTPRICE</f>
        <v>3606</v>
      </c>
      <c r="AI12" s="2" cm="1">
        <f t="array" ref="AI12">[10]!NETCHANGE</f>
        <v>-85</v>
      </c>
      <c r="AJ12" s="2" t="str" cm="1">
        <f t="array" ref="AJ12">[10]!NETCHANGERATE</f>
        <v>-2.30%</v>
      </c>
      <c r="AK12" s="12" cm="1">
        <f t="array" ref="AK12">[10]!BIDVOLUME1</f>
        <v>18</v>
      </c>
      <c r="AL12" s="12" cm="1">
        <f t="array" ref="AL12">[10]!BIDPRICE1</f>
        <v>3606</v>
      </c>
      <c r="AM12" s="14" cm="1">
        <f t="array" ref="AM12">[10]!ASKPRICE1</f>
        <v>3608</v>
      </c>
      <c r="AN12" s="14" cm="1">
        <f t="array" ref="AN12">[10]!ASKVOLUME1</f>
        <v>36</v>
      </c>
      <c r="AO12" s="2" cm="1">
        <f t="array" ref="AO12">[10]!OPENPRICE</f>
        <v>3688</v>
      </c>
      <c r="AP12" s="2" cm="1">
        <f t="array" ref="AP12">[10]!HIGH</f>
        <v>3704.0000000000005</v>
      </c>
      <c r="AQ12" s="2" cm="1">
        <f t="array" ref="AQ12">[10]!LOW</f>
        <v>3595</v>
      </c>
      <c r="AR12" s="2" cm="1">
        <f t="array" ref="AR12">[10]!TRADEVOLUME</f>
        <v>13419</v>
      </c>
      <c r="AS12" s="2" cm="1">
        <f t="array" ref="AS12">[10]!POSIVOL</f>
        <v>60098</v>
      </c>
      <c r="AT12" s="2" cm="1">
        <f t="array" ref="AT12">[10]!POSIVOLCHANGE</f>
        <v>1</v>
      </c>
      <c r="AU12" s="2" cm="1">
        <f t="array" ref="AU12">[10]!POSIVOLCHANGEDAILY</f>
        <v>3191</v>
      </c>
      <c r="AV12" s="2" t="str" cm="1">
        <f t="array" ref="AV12">[10]!INST_STATE</f>
        <v>连续交易</v>
      </c>
      <c r="AW12" s="2" t="str" cm="1">
        <f t="array" ref="AW12">[10]!UPDATETIME</f>
        <v>10:13:50.500</v>
      </c>
      <c r="AX12" s="2" cm="1">
        <f t="array" ref="AX12">[10]!UPPERLIMITPRICE</f>
        <v>4097</v>
      </c>
      <c r="AY12" s="2" cm="1">
        <f t="array" ref="AY12">[10]!LOWERLIMITPRICE</f>
        <v>3284</v>
      </c>
      <c r="AZ12" s="2" t="e" cm="1">
        <f t="array" ref="AZ12">[10]!CLOSEPRICE</f>
        <v>#N/A</v>
      </c>
      <c r="BA12" s="2" t="e" cm="1">
        <f t="array" ref="BA12">[10]!SETTLEPRICE</f>
        <v>#N/A</v>
      </c>
      <c r="BB12" s="2" cm="1">
        <f t="array" ref="BB12">[10]!PRECLOSE</f>
        <v>3687</v>
      </c>
      <c r="BC12" s="2" cm="1">
        <f t="array" ref="BC12">[10]!PRESETTLEPRICE</f>
        <v>3691</v>
      </c>
      <c r="BD12" s="2" t="s">
        <v>47</v>
      </c>
      <c r="BE12" s="2" t="s">
        <v>48</v>
      </c>
      <c r="BF12" s="2">
        <v>10</v>
      </c>
      <c r="BG12" s="2">
        <v>20240115</v>
      </c>
      <c r="BH12" s="2"/>
      <c r="BI12" s="2"/>
      <c r="BJ12" s="2" t="s">
        <v>50</v>
      </c>
      <c r="BK12" s="2" cm="1">
        <f t="array" ref="BK12">[10]!IMPLYBIDVOLUME1</f>
        <v>0</v>
      </c>
      <c r="BL12" s="2" cm="1">
        <f t="array" ref="BL12">[10]!IMPLYBIDPRICE1</f>
        <v>0</v>
      </c>
      <c r="BM12" s="2" cm="1">
        <f t="array" ref="BM12">[10]!IMPLYASKPRICE1</f>
        <v>0</v>
      </c>
      <c r="BN12" s="2" cm="1">
        <f t="array" ref="BN12">[10]!IMPLYASKVOLUME1</f>
        <v>0</v>
      </c>
      <c r="BO12" s="2" cm="1">
        <f t="array" ref="BO12">[10]!VOLUMEBIDLOT</f>
        <v>0</v>
      </c>
      <c r="BP12" s="2" cm="1">
        <f t="array" ref="BP12">[10]!VOLUMEASKLOT</f>
        <v>0</v>
      </c>
    </row>
    <row r="13" spans="1:68" s="1" customFormat="1" ht="15.75" thickBot="1" x14ac:dyDescent="0.25">
      <c r="A13" s="83"/>
      <c r="B13" s="53">
        <f>AL8-AM4</f>
        <v>-458</v>
      </c>
      <c r="C13" s="56">
        <f>AM8-AL4</f>
        <v>-413</v>
      </c>
      <c r="D13" s="53">
        <f>AL8-AM5</f>
        <v>-123</v>
      </c>
      <c r="E13" s="58">
        <f>AM8-AL5</f>
        <v>-116</v>
      </c>
      <c r="F13" s="53">
        <f>AL8-AM6</f>
        <v>-42</v>
      </c>
      <c r="G13" s="58">
        <f>AM8-AL6</f>
        <v>-38</v>
      </c>
      <c r="H13" s="53">
        <f>AL8-AM7</f>
        <v>-19</v>
      </c>
      <c r="I13" s="56">
        <f>AM8-AL7</f>
        <v>-16</v>
      </c>
      <c r="J13" s="17"/>
      <c r="K13" s="29"/>
      <c r="L13" s="21">
        <f>MIN(AK8,AN9)</f>
        <v>2</v>
      </c>
      <c r="M13" s="22">
        <f>MIN(AN8,AK9)</f>
        <v>6</v>
      </c>
      <c r="N13" s="4">
        <f>MIN(AK8,AN10)</f>
        <v>2</v>
      </c>
      <c r="O13" s="5">
        <f>MIN(AN8,AK10)</f>
        <v>6</v>
      </c>
      <c r="P13" s="1">
        <f>MIN(AK8,AN11)</f>
        <v>2</v>
      </c>
      <c r="Q13" s="5">
        <f>MIN(AN8,AK11)</f>
        <v>3</v>
      </c>
      <c r="R13" s="1">
        <f>MIN(AK8,AN12)</f>
        <v>2</v>
      </c>
      <c r="S13" s="5">
        <f>MIN(AN8,AK12)</f>
        <v>6</v>
      </c>
      <c r="T13" s="1">
        <f>MIN(AK8,AN13)</f>
        <v>1</v>
      </c>
      <c r="U13" s="5">
        <f>MIN(AN8,AK13)</f>
        <v>1</v>
      </c>
      <c r="V13" s="1">
        <f>MIN(AK8,AN14)</f>
        <v>2</v>
      </c>
      <c r="W13" s="5">
        <f>MIN(AN8,AK14)</f>
        <v>3</v>
      </c>
      <c r="X13" s="4">
        <f>MIN(AK8,AN15)</f>
        <v>2</v>
      </c>
      <c r="Y13" s="5">
        <f>MIN(AN8,AK15)</f>
        <v>6</v>
      </c>
      <c r="Z13" s="81"/>
      <c r="AA13" s="41"/>
      <c r="AB13" s="2" t="s">
        <v>69</v>
      </c>
      <c r="AC13" s="2" t="s">
        <v>70</v>
      </c>
      <c r="AD13" s="2" cm="1">
        <f t="array" ref="AD13">[11]!NETVOLUME1557932811</f>
        <v>0</v>
      </c>
      <c r="AE13" s="2" cm="1">
        <f t="array" ref="AE13">[11]!LONGPOSITION1557932811</f>
        <v>0</v>
      </c>
      <c r="AF13" s="2" cm="1">
        <f t="array" ref="AF13">[11]!SHORTPOSITION1557932811</f>
        <v>0</v>
      </c>
      <c r="AG13" s="2" cm="1">
        <f t="array" ref="AG13">[11]!MTMPL1557932811</f>
        <v>0</v>
      </c>
      <c r="AH13" s="2" cm="1">
        <f t="array" ref="AH13">[11]!LASTPRICE</f>
        <v>3590</v>
      </c>
      <c r="AI13" s="2" cm="1">
        <f t="array" ref="AI13">[11]!NETCHANGE</f>
        <v>-96</v>
      </c>
      <c r="AJ13" s="2" t="str" cm="1">
        <f t="array" ref="AJ13">[11]!NETCHANGERATE</f>
        <v>-2.60%</v>
      </c>
      <c r="AK13" s="12" cm="1">
        <f t="array" ref="AK13">[11]!BIDVOLUME1</f>
        <v>1</v>
      </c>
      <c r="AL13" s="12" cm="1">
        <f t="array" ref="AL13">[11]!BIDPRICE1</f>
        <v>3591</v>
      </c>
      <c r="AM13" s="14" cm="1">
        <f t="array" ref="AM13">[11]!ASKPRICE1</f>
        <v>3599</v>
      </c>
      <c r="AN13" s="14" cm="1">
        <f t="array" ref="AN13">[11]!ASKVOLUME1</f>
        <v>1</v>
      </c>
      <c r="AO13" s="2" cm="1">
        <f t="array" ref="AO13">[11]!OPENPRICE</f>
        <v>3680.0000000000005</v>
      </c>
      <c r="AP13" s="2" cm="1">
        <f t="array" ref="AP13">[11]!HIGH</f>
        <v>3680.0000000000005</v>
      </c>
      <c r="AQ13" s="2" cm="1">
        <f t="array" ref="AQ13">[11]!LOW</f>
        <v>3590</v>
      </c>
      <c r="AR13" s="2" cm="1">
        <f t="array" ref="AR13">[11]!TRADEVOLUME</f>
        <v>147</v>
      </c>
      <c r="AS13" s="2" cm="1">
        <f t="array" ref="AS13">[11]!POSIVOL</f>
        <v>816</v>
      </c>
      <c r="AT13" s="2" cm="1">
        <f t="array" ref="AT13">[11]!POSIVOLCHANGE</f>
        <v>0</v>
      </c>
      <c r="AU13" s="2" cm="1">
        <f t="array" ref="AU13">[11]!POSIVOLCHANGEDAILY</f>
        <v>70</v>
      </c>
      <c r="AV13" s="2" t="str" cm="1">
        <f t="array" ref="AV13">[11]!INST_STATE</f>
        <v>连续交易</v>
      </c>
      <c r="AW13" s="2" t="str" cm="1">
        <f t="array" ref="AW13">[11]!UPDATETIME</f>
        <v>10:13:50.500</v>
      </c>
      <c r="AX13" s="2" cm="1">
        <f t="array" ref="AX13">[11]!UPPERLIMITPRICE</f>
        <v>4091</v>
      </c>
      <c r="AY13" s="2" cm="1">
        <f t="array" ref="AY13">[11]!LOWERLIMITPRICE</f>
        <v>3280</v>
      </c>
      <c r="AZ13" s="2" t="e" cm="1">
        <f t="array" ref="AZ13">[11]!CLOSEPRICE</f>
        <v>#N/A</v>
      </c>
      <c r="BA13" s="2" t="e" cm="1">
        <f t="array" ref="BA13">[11]!SETTLEPRICE</f>
        <v>#N/A</v>
      </c>
      <c r="BB13" s="2" cm="1">
        <f t="array" ref="BB13">[11]!PRECLOSE</f>
        <v>3670</v>
      </c>
      <c r="BC13" s="2" cm="1">
        <f t="array" ref="BC13">[11]!PRESETTLEPRICE</f>
        <v>3686</v>
      </c>
      <c r="BD13" s="2" t="s">
        <v>47</v>
      </c>
      <c r="BE13" s="2" t="s">
        <v>48</v>
      </c>
      <c r="BF13" s="2">
        <v>10</v>
      </c>
      <c r="BG13" s="2">
        <v>20240215</v>
      </c>
      <c r="BH13" s="2"/>
      <c r="BI13" s="2"/>
      <c r="BJ13" s="2" t="s">
        <v>50</v>
      </c>
      <c r="BK13" s="2" cm="1">
        <f t="array" ref="BK13">[11]!IMPLYBIDVOLUME1</f>
        <v>0</v>
      </c>
      <c r="BL13" s="2" cm="1">
        <f t="array" ref="BL13">[11]!IMPLYBIDPRICE1</f>
        <v>0</v>
      </c>
      <c r="BM13" s="2" cm="1">
        <f t="array" ref="BM13">[11]!IMPLYASKPRICE1</f>
        <v>0</v>
      </c>
      <c r="BN13" s="2" cm="1">
        <f t="array" ref="BN13">[11]!IMPLYASKVOLUME1</f>
        <v>0</v>
      </c>
      <c r="BO13" s="2" cm="1">
        <f t="array" ref="BO13">[11]!VOLUMEBIDLOT</f>
        <v>0</v>
      </c>
      <c r="BP13" s="2" cm="1">
        <f t="array" ref="BP13">[11]!VOLUMEASKLOT</f>
        <v>0</v>
      </c>
    </row>
    <row r="14" spans="1:68" s="1" customFormat="1" x14ac:dyDescent="0.2">
      <c r="A14" s="83" t="str">
        <f>AB9</f>
        <v>hc2310</v>
      </c>
      <c r="B14" s="49">
        <f>MIN(AK9,AN4)</f>
        <v>42</v>
      </c>
      <c r="C14" s="50">
        <f>MIN(AN9,AK4)</f>
        <v>90</v>
      </c>
      <c r="D14" s="49">
        <f>MIN(AK9,AN5)</f>
        <v>1</v>
      </c>
      <c r="E14" s="51">
        <f>MIN(AN9,AK5)</f>
        <v>1</v>
      </c>
      <c r="F14" s="49">
        <f>MIN(AK9,AN6)</f>
        <v>4</v>
      </c>
      <c r="G14" s="51">
        <f>MIN(AN9,AK6)</f>
        <v>5</v>
      </c>
      <c r="H14" s="49">
        <f>MIN(AK9,AN7)</f>
        <v>42</v>
      </c>
      <c r="I14" s="51">
        <f>MIN(AN9,AK7)</f>
        <v>12</v>
      </c>
      <c r="J14" s="49">
        <f>MIN(AK9,AN8)</f>
        <v>6</v>
      </c>
      <c r="K14" s="51">
        <f>MIN(AN9,AK8)</f>
        <v>2</v>
      </c>
      <c r="L14" s="16"/>
      <c r="M14" s="9"/>
      <c r="N14" s="25">
        <f>AL9-AM10</f>
        <v>18</v>
      </c>
      <c r="O14" s="28">
        <f>AM9-AL10</f>
        <v>20</v>
      </c>
      <c r="P14" s="26">
        <f>AL9-AM11</f>
        <v>28</v>
      </c>
      <c r="Q14" s="28">
        <f>AM9-AL11</f>
        <v>35</v>
      </c>
      <c r="R14" s="26">
        <f>AL9-AM12</f>
        <v>66</v>
      </c>
      <c r="S14" s="28">
        <f>AM9-AL12</f>
        <v>69</v>
      </c>
      <c r="T14" s="26">
        <f>AL9-AM13</f>
        <v>75</v>
      </c>
      <c r="U14" s="28">
        <f>AM9-AL13</f>
        <v>84</v>
      </c>
      <c r="V14" s="26">
        <f>AL9-AM14</f>
        <v>84</v>
      </c>
      <c r="W14" s="28">
        <f>AM9-AL14</f>
        <v>92</v>
      </c>
      <c r="X14" s="25">
        <f>AL9-AM15</f>
        <v>94</v>
      </c>
      <c r="Y14" s="28">
        <f>AM9-AL15</f>
        <v>102</v>
      </c>
      <c r="Z14" s="81" t="str">
        <f>AB9</f>
        <v>hc2310</v>
      </c>
      <c r="AA14" s="41"/>
      <c r="AB14" s="2" t="s">
        <v>71</v>
      </c>
      <c r="AC14" s="2" t="s">
        <v>72</v>
      </c>
      <c r="AD14" s="2" cm="1">
        <f t="array" ref="AD14">[12]!NETVOLUME1557932811</f>
        <v>0</v>
      </c>
      <c r="AE14" s="2" cm="1">
        <f t="array" ref="AE14">[12]!LONGPOSITION1557932811</f>
        <v>0</v>
      </c>
      <c r="AF14" s="2" cm="1">
        <f t="array" ref="AF14">[12]!SHORTPOSITION1557932811</f>
        <v>0</v>
      </c>
      <c r="AG14" s="2" cm="1">
        <f t="array" ref="AG14">[12]!MTMPL1557932811</f>
        <v>0</v>
      </c>
      <c r="AH14" s="2" cm="1">
        <f t="array" ref="AH14">[12]!LASTPRICE</f>
        <v>3580</v>
      </c>
      <c r="AI14" s="2" cm="1">
        <f t="array" ref="AI14">[12]!NETCHANGE</f>
        <v>-99</v>
      </c>
      <c r="AJ14" s="2" t="str" cm="1">
        <f t="array" ref="AJ14">[12]!NETCHANGERATE</f>
        <v>-2.69%</v>
      </c>
      <c r="AK14" s="12" cm="1">
        <f t="array" ref="AK14">[12]!BIDVOLUME1</f>
        <v>3</v>
      </c>
      <c r="AL14" s="12" cm="1">
        <f t="array" ref="AL14">[12]!BIDPRICE1</f>
        <v>3583</v>
      </c>
      <c r="AM14" s="14" cm="1">
        <f t="array" ref="AM14">[12]!ASKPRICE1</f>
        <v>3590</v>
      </c>
      <c r="AN14" s="14" cm="1">
        <f t="array" ref="AN14">[12]!ASKVOLUME1</f>
        <v>10</v>
      </c>
      <c r="AO14" s="2" cm="1">
        <f t="array" ref="AO14">[12]!OPENPRICE</f>
        <v>3670.0000000000005</v>
      </c>
      <c r="AP14" s="2" cm="1">
        <f t="array" ref="AP14">[12]!HIGH</f>
        <v>3670.0000000000005</v>
      </c>
      <c r="AQ14" s="2" cm="1">
        <f t="array" ref="AQ14">[12]!LOW</f>
        <v>3580</v>
      </c>
      <c r="AR14" s="2" cm="1">
        <f t="array" ref="AR14">[12]!TRADEVOLUME</f>
        <v>151</v>
      </c>
      <c r="AS14" s="2" cm="1">
        <f t="array" ref="AS14">[12]!POSIVOL</f>
        <v>1748</v>
      </c>
      <c r="AT14" s="2" cm="1">
        <f t="array" ref="AT14">[12]!POSIVOLCHANGE</f>
        <v>0</v>
      </c>
      <c r="AU14" s="2" cm="1">
        <f t="array" ref="AU14">[12]!POSIVOLCHANGEDAILY</f>
        <v>89</v>
      </c>
      <c r="AV14" s="2" t="str" cm="1">
        <f t="array" ref="AV14">[12]!INST_STATE</f>
        <v>连续交易</v>
      </c>
      <c r="AW14" s="2" t="str" cm="1">
        <f t="array" ref="AW14">[12]!UPDATETIME</f>
        <v>10:13:51.0</v>
      </c>
      <c r="AX14" s="2" cm="1">
        <f t="array" ref="AX14">[12]!UPPERLIMITPRICE</f>
        <v>4083</v>
      </c>
      <c r="AY14" s="2" cm="1">
        <f t="array" ref="AY14">[12]!LOWERLIMITPRICE</f>
        <v>3274</v>
      </c>
      <c r="AZ14" s="2" t="e" cm="1">
        <f t="array" ref="AZ14">[12]!CLOSEPRICE</f>
        <v>#N/A</v>
      </c>
      <c r="BA14" s="2" t="e" cm="1">
        <f t="array" ref="BA14">[12]!SETTLEPRICE</f>
        <v>#N/A</v>
      </c>
      <c r="BB14" s="2" cm="1">
        <f t="array" ref="BB14">[12]!PRECLOSE</f>
        <v>3654</v>
      </c>
      <c r="BC14" s="2" cm="1">
        <f t="array" ref="BC14">[12]!PRESETTLEPRICE</f>
        <v>3679</v>
      </c>
      <c r="BD14" s="2" t="s">
        <v>47</v>
      </c>
      <c r="BE14" s="2" t="s">
        <v>48</v>
      </c>
      <c r="BF14" s="2">
        <v>10</v>
      </c>
      <c r="BG14" s="2">
        <v>20240315</v>
      </c>
      <c r="BH14" s="3">
        <v>0.08</v>
      </c>
      <c r="BI14" s="2" t="s">
        <v>49</v>
      </c>
      <c r="BJ14" s="2" t="s">
        <v>50</v>
      </c>
      <c r="BK14" s="2" cm="1">
        <f t="array" ref="BK14">[12]!IMPLYBIDVOLUME1</f>
        <v>0</v>
      </c>
      <c r="BL14" s="2" cm="1">
        <f t="array" ref="BL14">[12]!IMPLYBIDPRICE1</f>
        <v>0</v>
      </c>
      <c r="BM14" s="2" cm="1">
        <f t="array" ref="BM14">[12]!IMPLYASKPRICE1</f>
        <v>0</v>
      </c>
      <c r="BN14" s="2" cm="1">
        <f t="array" ref="BN14">[12]!IMPLYASKVOLUME1</f>
        <v>0</v>
      </c>
      <c r="BO14" s="2" cm="1">
        <f t="array" ref="BO14">[12]!VOLUMEBIDLOT</f>
        <v>0</v>
      </c>
      <c r="BP14" s="2" cm="1">
        <f t="array" ref="BP14">[12]!VOLUMEASKLOT</f>
        <v>0</v>
      </c>
    </row>
    <row r="15" spans="1:68" s="1" customFormat="1" ht="15.75" thickBot="1" x14ac:dyDescent="0.25">
      <c r="A15" s="83"/>
      <c r="B15" s="52">
        <f>AL9-AM4</f>
        <v>-490</v>
      </c>
      <c r="C15" s="57">
        <f>AM9-AL4</f>
        <v>-445</v>
      </c>
      <c r="D15" s="52">
        <f>AL9-AM5</f>
        <v>-155</v>
      </c>
      <c r="E15" s="59">
        <f>AM9-AL5</f>
        <v>-148</v>
      </c>
      <c r="F15" s="52">
        <f>AL9-AM6</f>
        <v>-74</v>
      </c>
      <c r="G15" s="59">
        <f>AM9-AL6</f>
        <v>-70</v>
      </c>
      <c r="H15" s="52">
        <f>AL9-AM7</f>
        <v>-51</v>
      </c>
      <c r="I15" s="59">
        <f>AM9-AL7</f>
        <v>-48</v>
      </c>
      <c r="J15" s="52">
        <f>AL9-AM8</f>
        <v>-33</v>
      </c>
      <c r="K15" s="59">
        <f>AM9-AL8</f>
        <v>-31</v>
      </c>
      <c r="L15" s="42"/>
      <c r="M15" s="34"/>
      <c r="N15" s="6">
        <f>MIN(AK9,AN10)</f>
        <v>14</v>
      </c>
      <c r="O15" s="8">
        <f>MIN(AN9,AK10)</f>
        <v>7</v>
      </c>
      <c r="P15" s="7">
        <f>MIN(AK9,AN11)</f>
        <v>4</v>
      </c>
      <c r="Q15" s="8">
        <f>MIN(AN9,AK11)</f>
        <v>3</v>
      </c>
      <c r="R15" s="7">
        <f>MIN(AK9,AN12)</f>
        <v>36</v>
      </c>
      <c r="S15" s="8">
        <f>MIN(AN9,AK12)</f>
        <v>18</v>
      </c>
      <c r="T15" s="7">
        <f>MIN(AK9,AN13)</f>
        <v>1</v>
      </c>
      <c r="U15" s="8">
        <f>MIN(AN9,AK13)</f>
        <v>1</v>
      </c>
      <c r="V15" s="7">
        <f>MIN(AK9,AN14)</f>
        <v>10</v>
      </c>
      <c r="W15" s="8">
        <f>MIN(AN9,AK14)</f>
        <v>3</v>
      </c>
      <c r="X15" s="6">
        <f>MIN(AK9,AN15)</f>
        <v>10</v>
      </c>
      <c r="Y15" s="8">
        <f>MIN(AN9,AK15)</f>
        <v>8</v>
      </c>
      <c r="Z15" s="81"/>
      <c r="AA15" s="41"/>
      <c r="AB15" s="2" t="s">
        <v>73</v>
      </c>
      <c r="AC15" s="2" t="s">
        <v>74</v>
      </c>
      <c r="AD15" s="2" cm="1">
        <f t="array" ref="AD15">[13]!NETVOLUME1557932811</f>
        <v>0</v>
      </c>
      <c r="AE15" s="2" cm="1">
        <f t="array" ref="AE15">[13]!LONGPOSITION1557932811</f>
        <v>0</v>
      </c>
      <c r="AF15" s="2" cm="1">
        <f t="array" ref="AF15">[13]!SHORTPOSITION1557932811</f>
        <v>0</v>
      </c>
      <c r="AG15" s="2" cm="1">
        <f t="array" ref="AG15">[13]!MTMPL1557932811</f>
        <v>0</v>
      </c>
      <c r="AH15" s="2" cm="1">
        <f t="array" ref="AH15">[13]!LASTPRICE</f>
        <v>3575</v>
      </c>
      <c r="AI15" s="2" cm="1">
        <f t="array" ref="AI15">[13]!NETCHANGE</f>
        <v>-92</v>
      </c>
      <c r="AJ15" s="2" t="str" cm="1">
        <f t="array" ref="AJ15">[13]!NETCHANGERATE</f>
        <v>-2.51%</v>
      </c>
      <c r="AK15" s="12" cm="1">
        <f t="array" ref="AK15">[13]!BIDVOLUME1</f>
        <v>8</v>
      </c>
      <c r="AL15" s="12" cm="1">
        <f t="array" ref="AL15">[13]!BIDPRICE1</f>
        <v>3573</v>
      </c>
      <c r="AM15" s="14" cm="1">
        <f t="array" ref="AM15">[13]!ASKPRICE1</f>
        <v>3580</v>
      </c>
      <c r="AN15" s="14" cm="1">
        <f t="array" ref="AN15">[13]!ASKVOLUME1</f>
        <v>10</v>
      </c>
      <c r="AO15" s="2" cm="1">
        <f t="array" ref="AO15">[13]!OPENPRICE</f>
        <v>3660.0000000000005</v>
      </c>
      <c r="AP15" s="2" cm="1">
        <f t="array" ref="AP15">[13]!HIGH</f>
        <v>3668.0000000000005</v>
      </c>
      <c r="AQ15" s="2" cm="1">
        <f t="array" ref="AQ15">[13]!LOW</f>
        <v>3570</v>
      </c>
      <c r="AR15" s="2" cm="1">
        <f t="array" ref="AR15">[13]!TRADEVOLUME</f>
        <v>195</v>
      </c>
      <c r="AS15" s="2" cm="1">
        <f t="array" ref="AS15">[13]!POSIVOL</f>
        <v>1998</v>
      </c>
      <c r="AT15" s="2" cm="1">
        <f t="array" ref="AT15">[13]!POSIVOLCHANGE</f>
        <v>0</v>
      </c>
      <c r="AU15" s="2" cm="1">
        <f t="array" ref="AU15">[13]!POSIVOLCHANGEDAILY</f>
        <v>140</v>
      </c>
      <c r="AV15" s="2" t="str" cm="1">
        <f t="array" ref="AV15">[13]!INST_STATE</f>
        <v>连续交易</v>
      </c>
      <c r="AW15" s="2" t="str" cm="1">
        <f t="array" ref="AW15">[13]!UPDATETIME</f>
        <v>10:13:46.500</v>
      </c>
      <c r="AX15" s="2" cm="1">
        <f t="array" ref="AX15">[13]!UPPERLIMITPRICE</f>
        <v>4070</v>
      </c>
      <c r="AY15" s="2" cm="1">
        <f t="array" ref="AY15">[13]!LOWERLIMITPRICE</f>
        <v>3263</v>
      </c>
      <c r="AZ15" s="2" t="e" cm="1">
        <f t="array" ref="AZ15">[13]!CLOSEPRICE</f>
        <v>#N/A</v>
      </c>
      <c r="BA15" s="2" t="e" cm="1">
        <f t="array" ref="BA15">[13]!SETTLEPRICE</f>
        <v>#N/A</v>
      </c>
      <c r="BB15" s="2" cm="1">
        <f t="array" ref="BB15">[13]!PRECLOSE</f>
        <v>3654</v>
      </c>
      <c r="BC15" s="2" cm="1">
        <f t="array" ref="BC15">[13]!PRESETTLEPRICE</f>
        <v>3667</v>
      </c>
      <c r="BD15" s="2" t="s">
        <v>47</v>
      </c>
      <c r="BE15" s="2" t="s">
        <v>48</v>
      </c>
      <c r="BF15" s="2">
        <v>10</v>
      </c>
      <c r="BG15" s="2">
        <v>20240415</v>
      </c>
      <c r="BH15" s="2"/>
      <c r="BI15" s="2"/>
      <c r="BJ15" s="2" t="s">
        <v>50</v>
      </c>
      <c r="BK15" s="2" cm="1">
        <f t="array" ref="BK15">[13]!IMPLYBIDVOLUME1</f>
        <v>0</v>
      </c>
      <c r="BL15" s="2" cm="1">
        <f t="array" ref="BL15">[13]!IMPLYBIDPRICE1</f>
        <v>0</v>
      </c>
      <c r="BM15" s="2" cm="1">
        <f t="array" ref="BM15">[13]!IMPLYASKPRICE1</f>
        <v>0</v>
      </c>
      <c r="BN15" s="2" cm="1">
        <f t="array" ref="BN15">[13]!IMPLYASKVOLUME1</f>
        <v>0</v>
      </c>
      <c r="BO15" s="2" cm="1">
        <f t="array" ref="BO15">[13]!VOLUMEBIDLOT</f>
        <v>0</v>
      </c>
      <c r="BP15" s="2" cm="1">
        <f t="array" ref="BP15">[13]!VOLUMEASKLOT</f>
        <v>0</v>
      </c>
    </row>
    <row r="16" spans="1:68" s="1" customFormat="1" x14ac:dyDescent="0.2">
      <c r="A16" s="83" t="str">
        <f>AB10</f>
        <v>hc2311</v>
      </c>
      <c r="B16" s="46">
        <f>MIN(AK10,AN4)</f>
        <v>7</v>
      </c>
      <c r="C16" s="47">
        <f>MIN(AN10,AK4)</f>
        <v>14</v>
      </c>
      <c r="D16" s="46">
        <f>MIN(AK10,AN5)</f>
        <v>1</v>
      </c>
      <c r="E16" s="48">
        <f>MIN(AN10,AK5)</f>
        <v>1</v>
      </c>
      <c r="F16" s="46">
        <f>MIN(AK10,AN6)</f>
        <v>4</v>
      </c>
      <c r="G16" s="48">
        <f>MIN(AN10,AK6)</f>
        <v>5</v>
      </c>
      <c r="H16" s="46">
        <f>MIN(AK10,AN7)</f>
        <v>7</v>
      </c>
      <c r="I16" s="48">
        <f>MIN(AN10,AK7)</f>
        <v>12</v>
      </c>
      <c r="J16" s="46">
        <f>MIN(AK10,AN8)</f>
        <v>6</v>
      </c>
      <c r="K16" s="48">
        <f>MIN(AN10,AK8)</f>
        <v>2</v>
      </c>
      <c r="L16" s="46">
        <f>MIN(AK10,AN9)</f>
        <v>7</v>
      </c>
      <c r="M16" s="47">
        <f>MIN(AN10,AK9)</f>
        <v>14</v>
      </c>
      <c r="N16" s="16"/>
      <c r="O16" s="10"/>
      <c r="P16" s="26">
        <f>AL10-AM11</f>
        <v>9</v>
      </c>
      <c r="Q16" s="28">
        <f>AM10-AL11</f>
        <v>16</v>
      </c>
      <c r="R16" s="26">
        <f>AL10-AM12</f>
        <v>47</v>
      </c>
      <c r="S16" s="28">
        <f>AM10-AL12</f>
        <v>50</v>
      </c>
      <c r="T16" s="26">
        <f>AL10-AM13</f>
        <v>56</v>
      </c>
      <c r="U16" s="28">
        <f>AM10-AL13</f>
        <v>65</v>
      </c>
      <c r="V16" s="26">
        <f>AL10-AM14</f>
        <v>65</v>
      </c>
      <c r="W16" s="28">
        <f>AM10-AL14</f>
        <v>73</v>
      </c>
      <c r="X16" s="25">
        <f>AL10-AM15</f>
        <v>75</v>
      </c>
      <c r="Y16" s="28">
        <f>AM10-AL15</f>
        <v>83</v>
      </c>
      <c r="Z16" s="81" t="str">
        <f>AB10</f>
        <v>hc2311</v>
      </c>
      <c r="AA16" s="41"/>
      <c r="AK16" s="13"/>
      <c r="AL16" s="13"/>
      <c r="AM16" s="15"/>
      <c r="AN16" s="15"/>
      <c r="AO16" s="2"/>
      <c r="AP16" s="2"/>
      <c r="AQ16" s="2"/>
      <c r="AR16" s="2"/>
      <c r="AS16" s="2"/>
      <c r="AT16" s="2"/>
      <c r="AU16" s="2"/>
    </row>
    <row r="17" spans="1:47" s="1" customFormat="1" ht="15.75" thickBot="1" x14ac:dyDescent="0.25">
      <c r="A17" s="83"/>
      <c r="B17" s="53">
        <f>AL10-AM4</f>
        <v>-509</v>
      </c>
      <c r="C17" s="56">
        <f>AM10-AL4</f>
        <v>-464</v>
      </c>
      <c r="D17" s="53">
        <f>AL10-AM5</f>
        <v>-174</v>
      </c>
      <c r="E17" s="58">
        <f>AM10-AL5</f>
        <v>-167</v>
      </c>
      <c r="F17" s="53">
        <f>AL10-AM6</f>
        <v>-93</v>
      </c>
      <c r="G17" s="58">
        <f>AM10-AL6</f>
        <v>-89</v>
      </c>
      <c r="H17" s="53">
        <f>AL10-AM7</f>
        <v>-70</v>
      </c>
      <c r="I17" s="58">
        <f>AM10-AL7</f>
        <v>-67</v>
      </c>
      <c r="J17" s="53">
        <f>AL10-AM8</f>
        <v>-52</v>
      </c>
      <c r="K17" s="58">
        <f>AM10-AL8</f>
        <v>-50</v>
      </c>
      <c r="L17" s="53">
        <f>AL10-AM9</f>
        <v>-20</v>
      </c>
      <c r="M17" s="56">
        <f>AM10-AL9</f>
        <v>-18</v>
      </c>
      <c r="N17" s="42"/>
      <c r="O17" s="35"/>
      <c r="P17" s="7">
        <f>MIN(AK10,AN11)</f>
        <v>4</v>
      </c>
      <c r="Q17" s="8">
        <f>MIN(AN10,AK11)</f>
        <v>3</v>
      </c>
      <c r="R17" s="7">
        <f>MIN(AK10,AN12)</f>
        <v>7</v>
      </c>
      <c r="S17" s="8">
        <f>MIN(AN10,AK12)</f>
        <v>14</v>
      </c>
      <c r="T17" s="7">
        <f>MIN(AK10,AN13)</f>
        <v>1</v>
      </c>
      <c r="U17" s="8">
        <f>MIN(AN10,AK13)</f>
        <v>1</v>
      </c>
      <c r="V17" s="7">
        <f>MIN(AK10,AN14)</f>
        <v>7</v>
      </c>
      <c r="W17" s="8">
        <f>MIN(AN10,AK14)</f>
        <v>3</v>
      </c>
      <c r="X17" s="6">
        <f>MIN(AK10,AN15)</f>
        <v>7</v>
      </c>
      <c r="Y17" s="8">
        <f>MIN(AN10,AL15)</f>
        <v>14</v>
      </c>
      <c r="Z17" s="81"/>
      <c r="AA17" s="41"/>
      <c r="AJ17" s="13"/>
      <c r="AK17" s="13"/>
      <c r="AL17" s="15"/>
      <c r="AM17" s="15"/>
      <c r="AN17" s="2"/>
      <c r="AO17" s="2"/>
      <c r="AP17" s="2"/>
      <c r="AQ17" s="2"/>
      <c r="AR17" s="2"/>
      <c r="AS17" s="2"/>
      <c r="AT17" s="2"/>
    </row>
    <row r="18" spans="1:47" s="1" customFormat="1" x14ac:dyDescent="0.2">
      <c r="A18" s="83" t="str">
        <f>AB11</f>
        <v>hc2312</v>
      </c>
      <c r="B18" s="46">
        <f>MIN(AK11,AN4)</f>
        <v>3</v>
      </c>
      <c r="C18" s="47">
        <f>MIN(AN11,AK4)</f>
        <v>4</v>
      </c>
      <c r="D18" s="46">
        <f>MIN(AK11,AN5)</f>
        <v>1</v>
      </c>
      <c r="E18" s="48">
        <f>MIN(AN11,AK5)</f>
        <v>1</v>
      </c>
      <c r="F18" s="46">
        <f>MIN(AK11,AN6)</f>
        <v>3</v>
      </c>
      <c r="G18" s="48">
        <f>MIN(AN11,AK6)</f>
        <v>4</v>
      </c>
      <c r="H18" s="46">
        <f>MIN(AK11,AN7)</f>
        <v>3</v>
      </c>
      <c r="I18" s="48">
        <f>MIN(AN11,AK7)</f>
        <v>4</v>
      </c>
      <c r="J18" s="46">
        <f>MIN(AK11,AN8)</f>
        <v>3</v>
      </c>
      <c r="K18" s="48">
        <f>MIN(AN11,AK8)</f>
        <v>2</v>
      </c>
      <c r="L18" s="46">
        <f>MIN(AK11,AN9)</f>
        <v>3</v>
      </c>
      <c r="M18" s="48">
        <f>MIN(AN11,AK9)</f>
        <v>4</v>
      </c>
      <c r="N18" s="46">
        <f>MIN(AK11,AN10)</f>
        <v>3</v>
      </c>
      <c r="O18" s="47">
        <f>MIN(AN11,AK10)</f>
        <v>4</v>
      </c>
      <c r="P18" s="9"/>
      <c r="Q18" s="10"/>
      <c r="R18" s="26">
        <f>AL11-AM12</f>
        <v>32</v>
      </c>
      <c r="S18" s="28">
        <f>AM11-AL12</f>
        <v>40</v>
      </c>
      <c r="T18" s="26">
        <f>AL11-AM13</f>
        <v>41</v>
      </c>
      <c r="U18" s="28">
        <f>AM11-AL13</f>
        <v>55</v>
      </c>
      <c r="V18" s="26">
        <f>AL11-AM14</f>
        <v>50</v>
      </c>
      <c r="W18" s="28">
        <f>AM11-AL14</f>
        <v>63</v>
      </c>
      <c r="X18" s="25">
        <f>AL11-AM15</f>
        <v>60</v>
      </c>
      <c r="Y18" s="28">
        <f>AM11-AL15</f>
        <v>73</v>
      </c>
      <c r="Z18" s="81" t="str">
        <f>AB11</f>
        <v>hc2312</v>
      </c>
      <c r="AA18" s="41"/>
      <c r="AK18" s="13"/>
      <c r="AL18" s="13"/>
      <c r="AM18" s="15"/>
      <c r="AN18" s="15"/>
      <c r="AO18" s="2"/>
      <c r="AP18" s="2"/>
      <c r="AQ18" s="2"/>
      <c r="AR18" s="2"/>
      <c r="AS18" s="2"/>
      <c r="AT18" s="2"/>
      <c r="AU18" s="2"/>
    </row>
    <row r="19" spans="1:47" s="1" customFormat="1" ht="15.75" thickBot="1" x14ac:dyDescent="0.25">
      <c r="A19" s="83"/>
      <c r="B19" s="53">
        <f>AL11-AM4</f>
        <v>-524</v>
      </c>
      <c r="C19" s="56">
        <f>AM11-AL4</f>
        <v>-474</v>
      </c>
      <c r="D19" s="53">
        <f>AL11-AM5</f>
        <v>-189</v>
      </c>
      <c r="E19" s="58">
        <f>AM11-AL5</f>
        <v>-177</v>
      </c>
      <c r="F19" s="53">
        <f>AL11-AM6</f>
        <v>-108</v>
      </c>
      <c r="G19" s="58">
        <f>AM11-AL6</f>
        <v>-99</v>
      </c>
      <c r="H19" s="53">
        <f>AL11-AM7</f>
        <v>-85</v>
      </c>
      <c r="I19" s="58">
        <f>AM11-AL7</f>
        <v>-77</v>
      </c>
      <c r="J19" s="53">
        <f>AL11-AM8</f>
        <v>-67</v>
      </c>
      <c r="K19" s="58">
        <f>AM11-AL8</f>
        <v>-60</v>
      </c>
      <c r="L19" s="53">
        <f>AL11-AM9</f>
        <v>-35</v>
      </c>
      <c r="M19" s="58">
        <f>AM11-AL9</f>
        <v>-28</v>
      </c>
      <c r="N19" s="53">
        <f>AL11-AM10</f>
        <v>-16</v>
      </c>
      <c r="O19" s="56">
        <f>AM11-AL10</f>
        <v>-9</v>
      </c>
      <c r="P19" s="34"/>
      <c r="Q19" s="35"/>
      <c r="R19" s="7">
        <f>MIN(AK11,AN12)</f>
        <v>3</v>
      </c>
      <c r="S19" s="8">
        <f>MIN(AN11,AK12)</f>
        <v>4</v>
      </c>
      <c r="T19" s="1">
        <f>MIN(AK11,AN13)</f>
        <v>1</v>
      </c>
      <c r="U19" s="5">
        <f>MIN(AN11,AK13)</f>
        <v>1</v>
      </c>
      <c r="V19" s="1">
        <f>MIN(AK11,AN14)</f>
        <v>3</v>
      </c>
      <c r="W19" s="5">
        <f>MIN(AN11,AK14)</f>
        <v>3</v>
      </c>
      <c r="X19" s="4">
        <f>MIN(AK11,AN15)</f>
        <v>3</v>
      </c>
      <c r="Y19" s="5">
        <f>MIN(AN11,AK15)</f>
        <v>4</v>
      </c>
      <c r="Z19" s="81"/>
      <c r="AA19" s="41"/>
      <c r="AK19" s="13"/>
      <c r="AL19" s="13"/>
      <c r="AM19" s="15"/>
      <c r="AN19" s="15"/>
      <c r="AO19" s="2"/>
      <c r="AP19" s="2"/>
      <c r="AQ19" s="2"/>
      <c r="AR19" s="2"/>
      <c r="AS19" s="2"/>
      <c r="AT19" s="2"/>
      <c r="AU19" s="2"/>
    </row>
    <row r="20" spans="1:47" s="1" customFormat="1" x14ac:dyDescent="0.2">
      <c r="A20" s="83" t="str">
        <f>AB12</f>
        <v>hc2401</v>
      </c>
      <c r="B20" s="46">
        <f>MIN(AK12,AN4)</f>
        <v>18</v>
      </c>
      <c r="C20" s="47">
        <f>MIN(AN12,AK4)</f>
        <v>36</v>
      </c>
      <c r="D20" s="46">
        <f>MIN(AK12,AN5)</f>
        <v>1</v>
      </c>
      <c r="E20" s="48">
        <f>MIN(AN12,AK5)</f>
        <v>1</v>
      </c>
      <c r="F20" s="46">
        <f>MIN(AK12,AN6)</f>
        <v>4</v>
      </c>
      <c r="G20" s="48">
        <f>MIN(AN12,AK6)</f>
        <v>5</v>
      </c>
      <c r="H20" s="46">
        <f>MIN(AK12,AN7)</f>
        <v>18</v>
      </c>
      <c r="I20" s="48">
        <f>MIN(AN12,AK7)</f>
        <v>12</v>
      </c>
      <c r="J20" s="46">
        <f>MIN(AK12,AN8)</f>
        <v>6</v>
      </c>
      <c r="K20" s="48">
        <f>MIN(AN12,AK8)</f>
        <v>2</v>
      </c>
      <c r="L20" s="46">
        <f>MIN(AK12,AN9)</f>
        <v>18</v>
      </c>
      <c r="M20" s="48">
        <f>MIN(AN12,AK9)</f>
        <v>36</v>
      </c>
      <c r="N20" s="46">
        <f>MIN(AK12,AN10)</f>
        <v>14</v>
      </c>
      <c r="O20" s="47">
        <f>MIN(AN12,AK10)</f>
        <v>7</v>
      </c>
      <c r="P20" s="48">
        <f>MIN(AK12,AN11)</f>
        <v>4</v>
      </c>
      <c r="Q20" s="47">
        <f>MIN(AN12,AK11)</f>
        <v>3</v>
      </c>
      <c r="R20" s="9"/>
      <c r="S20" s="10"/>
      <c r="T20" s="26">
        <f>AL12-AM13</f>
        <v>7</v>
      </c>
      <c r="U20" s="28">
        <f>AM12-AL13</f>
        <v>17</v>
      </c>
      <c r="V20" s="26">
        <f>AL12-AM14</f>
        <v>16</v>
      </c>
      <c r="W20" s="28">
        <f>AM12-AL14</f>
        <v>25</v>
      </c>
      <c r="X20" s="25">
        <f>AL12-AM15</f>
        <v>26</v>
      </c>
      <c r="Y20" s="28">
        <f>AM12-AL15</f>
        <v>35</v>
      </c>
      <c r="Z20" s="81" t="str">
        <f>AB12</f>
        <v>hc2401</v>
      </c>
      <c r="AA20" s="41"/>
      <c r="AK20" s="13"/>
      <c r="AL20" s="13"/>
      <c r="AM20" s="15"/>
      <c r="AN20" s="15"/>
      <c r="AO20" s="2"/>
      <c r="AP20" s="2"/>
      <c r="AQ20" s="2"/>
      <c r="AR20" s="2"/>
      <c r="AS20" s="2"/>
      <c r="AT20" s="2"/>
      <c r="AU20" s="2"/>
    </row>
    <row r="21" spans="1:47" s="1" customFormat="1" ht="15.75" thickBot="1" x14ac:dyDescent="0.25">
      <c r="A21" s="83"/>
      <c r="B21" s="53">
        <f>AL12-AM4</f>
        <v>-558</v>
      </c>
      <c r="C21" s="56">
        <f>AM12-AL4</f>
        <v>-512</v>
      </c>
      <c r="D21" s="53">
        <f>AL12-AM5</f>
        <v>-223</v>
      </c>
      <c r="E21" s="58">
        <f>AM12-AL5</f>
        <v>-215</v>
      </c>
      <c r="F21" s="53">
        <f>AL12-AM6</f>
        <v>-142</v>
      </c>
      <c r="G21" s="58">
        <f>AM12-AL6</f>
        <v>-137</v>
      </c>
      <c r="H21" s="53">
        <f>AL12-AM7</f>
        <v>-119</v>
      </c>
      <c r="I21" s="58">
        <f>AM12-AL7</f>
        <v>-115</v>
      </c>
      <c r="J21" s="53">
        <f>AL12-AM8</f>
        <v>-101</v>
      </c>
      <c r="K21" s="58">
        <f>AM12-AL8</f>
        <v>-98</v>
      </c>
      <c r="L21" s="53">
        <f>AL12-AM9</f>
        <v>-69</v>
      </c>
      <c r="M21" s="58">
        <f>AM12-AL9</f>
        <v>-66</v>
      </c>
      <c r="N21" s="53">
        <f>AL12-AM10</f>
        <v>-50</v>
      </c>
      <c r="O21" s="56">
        <f>AM12-AL10</f>
        <v>-47</v>
      </c>
      <c r="P21" s="54">
        <f>AL12-AM11</f>
        <v>-40</v>
      </c>
      <c r="Q21" s="56">
        <f>AM12-AL11</f>
        <v>-32</v>
      </c>
      <c r="R21" s="34"/>
      <c r="S21" s="35"/>
      <c r="T21" s="7">
        <f>MIN(AK12,AN13)</f>
        <v>1</v>
      </c>
      <c r="U21" s="8">
        <f>MIN(AN12,AK13)</f>
        <v>1</v>
      </c>
      <c r="V21" s="7">
        <f>MIN(AK12,AN14)</f>
        <v>10</v>
      </c>
      <c r="W21" s="8">
        <f>MIN(AN12,AK14)</f>
        <v>3</v>
      </c>
      <c r="X21" s="6">
        <f>MIN(AK12,AN15)</f>
        <v>10</v>
      </c>
      <c r="Y21" s="8">
        <f>MIN(AN12,AK15)</f>
        <v>8</v>
      </c>
      <c r="Z21" s="81"/>
      <c r="AA21" s="41"/>
      <c r="AK21" s="13"/>
      <c r="AL21" s="13"/>
      <c r="AM21" s="15"/>
      <c r="AN21" s="15"/>
      <c r="AO21" s="2"/>
      <c r="AP21" s="2"/>
      <c r="AQ21" s="2"/>
      <c r="AR21" s="2"/>
      <c r="AS21" s="2"/>
      <c r="AT21" s="2"/>
      <c r="AU21" s="2"/>
    </row>
    <row r="22" spans="1:47" s="1" customFormat="1" x14ac:dyDescent="0.2">
      <c r="A22" s="83" t="str">
        <f>AB13</f>
        <v>hc2402</v>
      </c>
      <c r="B22" s="46">
        <f>MIN(AK13,AN4)</f>
        <v>1</v>
      </c>
      <c r="C22" s="47">
        <f>MIN(AN13,AK4)</f>
        <v>1</v>
      </c>
      <c r="D22" s="46">
        <f>MIN(AK13,AN5)</f>
        <v>1</v>
      </c>
      <c r="E22" s="48">
        <f>MIN(AN13,AK5)</f>
        <v>1</v>
      </c>
      <c r="F22" s="46">
        <f>MIN(AK13,AN6)</f>
        <v>1</v>
      </c>
      <c r="G22" s="48">
        <f>MIN(AN13,AK6)</f>
        <v>1</v>
      </c>
      <c r="H22" s="46">
        <f>MIN(AK13,AN7)</f>
        <v>1</v>
      </c>
      <c r="I22" s="48">
        <f>MIN(AN13,AK7)</f>
        <v>1</v>
      </c>
      <c r="J22" s="46">
        <f>MIN(AK13,AN8)</f>
        <v>1</v>
      </c>
      <c r="K22" s="48">
        <f>MIN(AN13,AK8)</f>
        <v>1</v>
      </c>
      <c r="L22" s="46">
        <f>MIN(AK13,AN9)</f>
        <v>1</v>
      </c>
      <c r="M22" s="48">
        <f>MIN(AN13,AK9)</f>
        <v>1</v>
      </c>
      <c r="N22" s="46">
        <f>MIN(AK13,AN10)</f>
        <v>1</v>
      </c>
      <c r="O22" s="47">
        <f>MIN(AN13,AK10)</f>
        <v>1</v>
      </c>
      <c r="P22" s="48">
        <f>MIN(AK13,AN11)</f>
        <v>1</v>
      </c>
      <c r="Q22" s="47">
        <f>MIN(AN13,AK11)</f>
        <v>1</v>
      </c>
      <c r="R22" s="48">
        <f>MIN(AK13,AN12)</f>
        <v>1</v>
      </c>
      <c r="S22" s="47">
        <f>MIN(AN13,AK12)</f>
        <v>1</v>
      </c>
      <c r="T22" s="9"/>
      <c r="U22" s="10"/>
      <c r="V22" s="26">
        <f>AL13-AM14</f>
        <v>1</v>
      </c>
      <c r="W22" s="28">
        <f>AM13-AL14</f>
        <v>16</v>
      </c>
      <c r="X22" s="25">
        <f>AL13-AM15</f>
        <v>11</v>
      </c>
      <c r="Y22" s="28">
        <f>AM13-AL15</f>
        <v>26</v>
      </c>
      <c r="Z22" s="81" t="str">
        <f>AB13</f>
        <v>hc2402</v>
      </c>
      <c r="AA22" s="41"/>
      <c r="AK22" s="13"/>
      <c r="AL22" s="13"/>
      <c r="AM22" s="15"/>
      <c r="AN22" s="15"/>
      <c r="AO22" s="2"/>
      <c r="AP22" s="2"/>
      <c r="AQ22" s="2"/>
      <c r="AR22" s="2"/>
      <c r="AS22" s="2"/>
      <c r="AT22" s="2"/>
      <c r="AU22" s="2"/>
    </row>
    <row r="23" spans="1:47" s="1" customFormat="1" ht="15.75" thickBot="1" x14ac:dyDescent="0.25">
      <c r="A23" s="83"/>
      <c r="B23" s="53">
        <f>AL13-AM4</f>
        <v>-573</v>
      </c>
      <c r="C23" s="56">
        <f>AM13-AL4</f>
        <v>-521</v>
      </c>
      <c r="D23" s="53">
        <f>AL13-AM5</f>
        <v>-238</v>
      </c>
      <c r="E23" s="58">
        <f>AM13-AL5</f>
        <v>-224</v>
      </c>
      <c r="F23" s="53">
        <f>AL13-AM6</f>
        <v>-157</v>
      </c>
      <c r="G23" s="58">
        <f>AM13-AL6</f>
        <v>-146</v>
      </c>
      <c r="H23" s="53">
        <f>AL13-AM7</f>
        <v>-134</v>
      </c>
      <c r="I23" s="58">
        <f>AM13-AL7</f>
        <v>-124</v>
      </c>
      <c r="J23" s="53">
        <f>AL13-AM8</f>
        <v>-116</v>
      </c>
      <c r="K23" s="58">
        <f>AM13-AL8</f>
        <v>-107</v>
      </c>
      <c r="L23" s="53">
        <f>AL13-AM9</f>
        <v>-84</v>
      </c>
      <c r="M23" s="58">
        <f>AM13-AL9</f>
        <v>-75</v>
      </c>
      <c r="N23" s="53">
        <f>AL13-AM10</f>
        <v>-65</v>
      </c>
      <c r="O23" s="56">
        <f>AM13-AL10</f>
        <v>-56</v>
      </c>
      <c r="P23" s="54">
        <f>AL13-AM11</f>
        <v>-55</v>
      </c>
      <c r="Q23" s="56">
        <f>AM13-AL11</f>
        <v>-41</v>
      </c>
      <c r="R23" s="54">
        <f>AL13-AM12</f>
        <v>-17</v>
      </c>
      <c r="S23" s="56">
        <f>AM13-AL12</f>
        <v>-7</v>
      </c>
      <c r="T23" s="29"/>
      <c r="U23" s="11"/>
      <c r="V23" s="7">
        <f>MIN(AK13,AN14)</f>
        <v>1</v>
      </c>
      <c r="W23" s="8">
        <f>MIN(AN13,AK14)</f>
        <v>1</v>
      </c>
      <c r="X23" s="6">
        <f>MIN(AK13,AN15)</f>
        <v>1</v>
      </c>
      <c r="Y23" s="8">
        <f>MIN(AN13,AK15)</f>
        <v>1</v>
      </c>
      <c r="Z23" s="81"/>
      <c r="AA23" s="41"/>
      <c r="AK23" s="13"/>
      <c r="AL23" s="13"/>
      <c r="AM23" s="15"/>
      <c r="AN23" s="15"/>
      <c r="AO23" s="2"/>
      <c r="AP23" s="2"/>
      <c r="AQ23" s="2"/>
      <c r="AR23" s="2"/>
      <c r="AS23" s="2"/>
      <c r="AT23" s="2"/>
      <c r="AU23" s="2"/>
    </row>
    <row r="24" spans="1:47" s="1" customFormat="1" x14ac:dyDescent="0.2">
      <c r="A24" s="83" t="str">
        <f>AB14</f>
        <v>hc2403</v>
      </c>
      <c r="B24" s="43">
        <f>MIN(AK14,AN4)</f>
        <v>3</v>
      </c>
      <c r="C24" s="44">
        <f>MIN(AN14,AK4)</f>
        <v>10</v>
      </c>
      <c r="D24" s="43">
        <f>MIN(AK14,AN5)</f>
        <v>1</v>
      </c>
      <c r="E24" s="45">
        <f>MIN(AN14,AK5)</f>
        <v>1</v>
      </c>
      <c r="F24" s="43">
        <f>MIN(AK14,AN6)</f>
        <v>3</v>
      </c>
      <c r="G24" s="45">
        <f>MIN(AN14,AK6)</f>
        <v>5</v>
      </c>
      <c r="H24" s="43">
        <f>MIN(AK14,AN7)</f>
        <v>3</v>
      </c>
      <c r="I24" s="45">
        <f>MIN(AN14,AK7)</f>
        <v>10</v>
      </c>
      <c r="J24" s="43">
        <f>MIN(AK14,AN8)</f>
        <v>3</v>
      </c>
      <c r="K24" s="45">
        <f>MIN(AN14,AK8)</f>
        <v>2</v>
      </c>
      <c r="L24" s="43">
        <f>MIN(AK14,AN9)</f>
        <v>3</v>
      </c>
      <c r="M24" s="45">
        <f>MIN(AN14,AK9)</f>
        <v>10</v>
      </c>
      <c r="N24" s="43">
        <f>MIN(AK14,AN10)</f>
        <v>3</v>
      </c>
      <c r="O24" s="44">
        <f>MIN(AN14,AK10)</f>
        <v>7</v>
      </c>
      <c r="P24" s="45">
        <f>MIN(AK14,AN11)</f>
        <v>3</v>
      </c>
      <c r="Q24" s="44">
        <f>MIN(AN14,AK11)</f>
        <v>3</v>
      </c>
      <c r="R24" s="45">
        <f>MIN(AK14,AN12)</f>
        <v>3</v>
      </c>
      <c r="S24" s="44">
        <f>MIN(AN14,AK12)</f>
        <v>10</v>
      </c>
      <c r="T24" s="45">
        <f>MIN(AK14,AN13)</f>
        <v>1</v>
      </c>
      <c r="U24" s="44">
        <f>MIN(AN14,AK13)</f>
        <v>1</v>
      </c>
      <c r="V24" s="9"/>
      <c r="W24" s="10"/>
      <c r="X24" s="25">
        <f>AL14-AM15</f>
        <v>3</v>
      </c>
      <c r="Y24" s="28">
        <f>AM14-AL15</f>
        <v>17</v>
      </c>
      <c r="Z24" s="81" t="str">
        <f>AB14</f>
        <v>hc2403</v>
      </c>
      <c r="AA24" s="41"/>
      <c r="AK24" s="13"/>
      <c r="AL24" s="13"/>
      <c r="AM24" s="15"/>
      <c r="AN24" s="15"/>
      <c r="AO24" s="2"/>
      <c r="AP24" s="2"/>
      <c r="AQ24" s="2"/>
      <c r="AR24" s="2"/>
      <c r="AS24" s="2"/>
      <c r="AT24" s="2"/>
      <c r="AU24" s="2"/>
    </row>
    <row r="25" spans="1:47" s="1" customFormat="1" ht="15.75" thickBot="1" x14ac:dyDescent="0.25">
      <c r="A25" s="83"/>
      <c r="B25" s="52">
        <f>AL14-AM4</f>
        <v>-581</v>
      </c>
      <c r="C25" s="57">
        <f>AM14-AL4</f>
        <v>-530</v>
      </c>
      <c r="D25" s="52">
        <f>AL14-AM5</f>
        <v>-246</v>
      </c>
      <c r="E25" s="59">
        <f>AM14-AL5</f>
        <v>-233</v>
      </c>
      <c r="F25" s="52">
        <f>AL14-AM6</f>
        <v>-165</v>
      </c>
      <c r="G25" s="59">
        <f>AM14-AL6</f>
        <v>-155</v>
      </c>
      <c r="H25" s="52">
        <f>AL14-AM7</f>
        <v>-142</v>
      </c>
      <c r="I25" s="59">
        <f>AM14-AL7</f>
        <v>-133</v>
      </c>
      <c r="J25" s="52">
        <f>AL14-AM8</f>
        <v>-124</v>
      </c>
      <c r="K25" s="59">
        <f>AM14-AL8</f>
        <v>-116</v>
      </c>
      <c r="L25" s="52">
        <f>AL14-AM9</f>
        <v>-92</v>
      </c>
      <c r="M25" s="59">
        <f>AM14-AL9</f>
        <v>-84</v>
      </c>
      <c r="N25" s="52">
        <f>AL14-AM10</f>
        <v>-73</v>
      </c>
      <c r="O25" s="57">
        <f>AM14-AL10</f>
        <v>-65</v>
      </c>
      <c r="P25" s="55">
        <f>AL14-AM11</f>
        <v>-63</v>
      </c>
      <c r="Q25" s="57">
        <f>AM14-AL11</f>
        <v>-50</v>
      </c>
      <c r="R25" s="55">
        <f>AL14-AM12</f>
        <v>-25</v>
      </c>
      <c r="S25" s="57">
        <f>AM14-AL12</f>
        <v>-16</v>
      </c>
      <c r="T25" s="55">
        <f>AL14-AM13</f>
        <v>-16</v>
      </c>
      <c r="U25" s="57">
        <f>AM14-AL13</f>
        <v>-1</v>
      </c>
      <c r="V25" s="34"/>
      <c r="W25" s="35"/>
      <c r="X25" s="4">
        <f>MIN(AK14,AN15)</f>
        <v>3</v>
      </c>
      <c r="Y25" s="5">
        <f>MIN(AN14,AK15)</f>
        <v>8</v>
      </c>
      <c r="Z25" s="81"/>
      <c r="AA25" s="41"/>
      <c r="AK25" s="13"/>
      <c r="AL25" s="13"/>
      <c r="AM25" s="15"/>
      <c r="AN25" s="15"/>
      <c r="AO25" s="2"/>
      <c r="AP25" s="2"/>
      <c r="AQ25" s="2"/>
      <c r="AR25" s="2"/>
      <c r="AS25" s="2"/>
      <c r="AT25" s="2"/>
      <c r="AU25" s="2"/>
    </row>
    <row r="26" spans="1:47" s="1" customFormat="1" ht="15.75" thickBot="1" x14ac:dyDescent="0.25">
      <c r="A26" s="87" t="str">
        <f>AB15</f>
        <v>hc2404</v>
      </c>
      <c r="B26" s="36">
        <f>MIN(AK15,AN4)</f>
        <v>8</v>
      </c>
      <c r="C26" s="37">
        <f>MIN(AN15,AK4)</f>
        <v>10</v>
      </c>
      <c r="D26" s="38">
        <f>MIN(AK15,AN5)</f>
        <v>1</v>
      </c>
      <c r="E26" s="39">
        <f>MIN(AN15,AK5)</f>
        <v>1</v>
      </c>
      <c r="F26" s="38">
        <f>MIN(AK15,AN6)</f>
        <v>4</v>
      </c>
      <c r="G26" s="39">
        <f>MIN(AN15,AK6)</f>
        <v>5</v>
      </c>
      <c r="H26" s="38">
        <f>MIN(AK15,AN7)</f>
        <v>8</v>
      </c>
      <c r="I26" s="39">
        <f>MIN(AN15,AK7)</f>
        <v>10</v>
      </c>
      <c r="J26" s="38">
        <f>MIN(AK15,AN8)</f>
        <v>6</v>
      </c>
      <c r="K26" s="39">
        <f>MIN(AN15,AK8)</f>
        <v>2</v>
      </c>
      <c r="L26" s="38">
        <f>MIN(AK15,AN9)</f>
        <v>8</v>
      </c>
      <c r="M26" s="39">
        <f>MIN(AN15,AK9)</f>
        <v>10</v>
      </c>
      <c r="N26" s="36">
        <f>MIN(AK15,AN10)</f>
        <v>8</v>
      </c>
      <c r="O26" s="37">
        <f>MIN(AN15,AK10)</f>
        <v>7</v>
      </c>
      <c r="P26" s="40">
        <f>MIN(AK15,AN11)</f>
        <v>4</v>
      </c>
      <c r="Q26" s="37">
        <f>MIN(AN15,AK11)</f>
        <v>3</v>
      </c>
      <c r="R26" s="40">
        <f>MIN(AK15,AN12)</f>
        <v>8</v>
      </c>
      <c r="S26" s="37">
        <f>MIN(AN15,AK12)</f>
        <v>10</v>
      </c>
      <c r="T26" s="40">
        <f>MIN(AK15,AN13)</f>
        <v>1</v>
      </c>
      <c r="U26" s="37">
        <f>MIN(AN15,AK13)</f>
        <v>1</v>
      </c>
      <c r="V26" s="40">
        <f>MIN(AN15,AK14)</f>
        <v>3</v>
      </c>
      <c r="W26" s="37">
        <f>MIN(AN15,AK14)</f>
        <v>3</v>
      </c>
      <c r="X26" s="66"/>
      <c r="Y26" s="67"/>
      <c r="Z26" s="81" t="str">
        <f>AB15</f>
        <v>hc2404</v>
      </c>
      <c r="AA26" s="41"/>
      <c r="AK26" s="13"/>
      <c r="AL26" s="13"/>
      <c r="AM26" s="15"/>
      <c r="AN26" s="15"/>
      <c r="AO26" s="2"/>
      <c r="AP26" s="2"/>
      <c r="AQ26" s="2"/>
      <c r="AR26" s="2"/>
      <c r="AS26" s="2"/>
      <c r="AT26" s="2"/>
      <c r="AU26" s="2"/>
    </row>
    <row r="27" spans="1:47" ht="15.75" thickBot="1" x14ac:dyDescent="0.25">
      <c r="A27" s="88"/>
      <c r="B27" s="53">
        <f>AL15-AM4</f>
        <v>-591</v>
      </c>
      <c r="C27" s="56">
        <f>AM15-AL4</f>
        <v>-540</v>
      </c>
      <c r="D27" s="53">
        <f>AL15-AM5</f>
        <v>-256</v>
      </c>
      <c r="E27" s="58">
        <f>AM15-AL5</f>
        <v>-243</v>
      </c>
      <c r="F27" s="53">
        <f>AL15-AM6</f>
        <v>-175</v>
      </c>
      <c r="G27" s="58">
        <f>AM15-AL6</f>
        <v>-165</v>
      </c>
      <c r="H27" s="53">
        <f>AL15-AM7</f>
        <v>-152</v>
      </c>
      <c r="I27" s="58">
        <f>AM15-AL7</f>
        <v>-143</v>
      </c>
      <c r="J27" s="53">
        <f>AL15-AM8</f>
        <v>-134</v>
      </c>
      <c r="K27" s="58">
        <f>AM15-AL8</f>
        <v>-126</v>
      </c>
      <c r="L27" s="53">
        <f>AL15-AM9</f>
        <v>-102</v>
      </c>
      <c r="M27" s="58">
        <f>AM15-AL9</f>
        <v>-94</v>
      </c>
      <c r="N27" s="53">
        <f>AL15-AM10</f>
        <v>-83</v>
      </c>
      <c r="O27" s="56">
        <f>AM15-AL10</f>
        <v>-75</v>
      </c>
      <c r="P27" s="54">
        <f>AL15-AM11</f>
        <v>-73</v>
      </c>
      <c r="Q27" s="56">
        <f>AM15-AL11</f>
        <v>-60</v>
      </c>
      <c r="R27" s="54">
        <f>AL15-AM12</f>
        <v>-35</v>
      </c>
      <c r="S27" s="56">
        <f>AM15-AL12</f>
        <v>-26</v>
      </c>
      <c r="T27" s="54">
        <f>AL15-AM13</f>
        <v>-26</v>
      </c>
      <c r="U27" s="56">
        <f>AM15-AL13</f>
        <v>-11</v>
      </c>
      <c r="V27" s="54">
        <f>AL15-AM14</f>
        <v>-17</v>
      </c>
      <c r="W27" s="56">
        <f>AM15-AL14</f>
        <v>-3</v>
      </c>
      <c r="X27" s="68"/>
      <c r="Y27" s="69"/>
      <c r="Z27" s="81"/>
      <c r="AA27" s="41"/>
    </row>
    <row r="28" spans="1:47" ht="15.75" thickBot="1" x14ac:dyDescent="0.25">
      <c r="B28" s="18" t="s">
        <v>0</v>
      </c>
      <c r="C28" s="19" t="s">
        <v>1</v>
      </c>
      <c r="D28" s="62" t="s">
        <v>0</v>
      </c>
      <c r="E28" s="63" t="s">
        <v>1</v>
      </c>
      <c r="F28" s="62" t="s">
        <v>0</v>
      </c>
      <c r="G28" s="63" t="s">
        <v>1</v>
      </c>
      <c r="H28" s="62" t="s">
        <v>0</v>
      </c>
      <c r="I28" s="63" t="s">
        <v>1</v>
      </c>
      <c r="J28" s="62" t="s">
        <v>0</v>
      </c>
      <c r="K28" s="63" t="s">
        <v>1</v>
      </c>
      <c r="L28" s="62" t="s">
        <v>0</v>
      </c>
      <c r="M28" s="63" t="s">
        <v>1</v>
      </c>
      <c r="N28" s="18" t="s">
        <v>0</v>
      </c>
      <c r="O28" s="19" t="s">
        <v>1</v>
      </c>
      <c r="P28" s="32" t="s">
        <v>0</v>
      </c>
      <c r="Q28" s="19" t="s">
        <v>1</v>
      </c>
      <c r="R28" s="32" t="s">
        <v>0</v>
      </c>
      <c r="S28" s="19" t="s">
        <v>1</v>
      </c>
      <c r="T28" s="32" t="s">
        <v>0</v>
      </c>
      <c r="U28" s="19" t="s">
        <v>1</v>
      </c>
      <c r="V28" s="32" t="s">
        <v>0</v>
      </c>
      <c r="W28" s="19" t="s">
        <v>1</v>
      </c>
      <c r="X28" s="64" t="s">
        <v>0</v>
      </c>
      <c r="Y28" s="65" t="s">
        <v>1</v>
      </c>
      <c r="Z28" s="1"/>
      <c r="AA28" s="1"/>
    </row>
    <row r="29" spans="1:47" ht="15.75" thickBot="1" x14ac:dyDescent="0.25">
      <c r="B29" s="80" t="str">
        <f>AB4</f>
        <v>hc2305</v>
      </c>
      <c r="C29" s="79"/>
      <c r="D29" s="80" t="str">
        <f>AB5</f>
        <v>hc2306</v>
      </c>
      <c r="E29" s="78"/>
      <c r="F29" s="80" t="str">
        <f>AB6</f>
        <v>hc2307</v>
      </c>
      <c r="G29" s="78"/>
      <c r="H29" s="80" t="str">
        <f>AB7</f>
        <v>hc2308</v>
      </c>
      <c r="I29" s="78"/>
      <c r="J29" s="80" t="str">
        <f>AB8</f>
        <v>hc2309</v>
      </c>
      <c r="K29" s="78"/>
      <c r="L29" s="80" t="str">
        <f>AB9</f>
        <v>hc2310</v>
      </c>
      <c r="M29" s="78"/>
      <c r="N29" s="80" t="str">
        <f>AB10</f>
        <v>hc2311</v>
      </c>
      <c r="O29" s="79"/>
      <c r="P29" s="78" t="str">
        <f>AB11</f>
        <v>hc2312</v>
      </c>
      <c r="Q29" s="79"/>
      <c r="R29" s="78" t="str">
        <f>AB12</f>
        <v>hc2401</v>
      </c>
      <c r="S29" s="79"/>
      <c r="T29" s="78" t="str">
        <f>AB13</f>
        <v>hc2402</v>
      </c>
      <c r="U29" s="79"/>
      <c r="V29" s="78" t="str">
        <f>AB14</f>
        <v>hc2403</v>
      </c>
      <c r="W29" s="79"/>
      <c r="X29" s="80" t="str">
        <f>AB15</f>
        <v>hc2404</v>
      </c>
      <c r="Y29" s="79"/>
      <c r="Z29" s="41"/>
      <c r="AA29" s="41"/>
      <c r="AK29" s="2"/>
      <c r="AL29" s="2"/>
      <c r="AM29" s="2"/>
      <c r="AN29" s="2"/>
    </row>
    <row r="30" spans="1:47" ht="15.75" thickBot="1" x14ac:dyDescent="0.25">
      <c r="B30" s="75" t="s">
        <v>3</v>
      </c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7"/>
      <c r="AK30" s="2"/>
      <c r="AL30" s="2"/>
      <c r="AM30" s="2"/>
      <c r="AN30" s="2"/>
    </row>
    <row r="31" spans="1:47" x14ac:dyDescent="0.2">
      <c r="D31" s="2"/>
      <c r="E31" s="2"/>
      <c r="F31" s="2"/>
      <c r="G31" s="2"/>
      <c r="H31" s="2"/>
      <c r="I31" s="2"/>
      <c r="J31" s="2"/>
      <c r="K31" s="2"/>
      <c r="L31" s="2"/>
      <c r="M31" s="2"/>
      <c r="AK31" s="2"/>
      <c r="AL31" s="2"/>
      <c r="AM31" s="2"/>
      <c r="AN31" s="2"/>
    </row>
    <row r="32" spans="1:47" x14ac:dyDescent="0.2">
      <c r="C32" s="20"/>
      <c r="J32" s="2"/>
      <c r="K32" s="2"/>
      <c r="L32" s="12"/>
      <c r="M32" s="12"/>
      <c r="N32" s="14"/>
      <c r="AK32" s="2"/>
      <c r="AL32" s="2"/>
      <c r="AM32" s="2"/>
      <c r="AN32" s="2"/>
    </row>
    <row r="33" spans="3:40" x14ac:dyDescent="0.2">
      <c r="K33" s="2"/>
      <c r="L33" s="2"/>
      <c r="M33" s="12"/>
      <c r="N33" s="12"/>
      <c r="O33" s="14"/>
      <c r="AK33" s="2"/>
      <c r="AL33" s="2"/>
      <c r="AM33" s="2"/>
      <c r="AN33" s="2"/>
    </row>
    <row r="34" spans="3:40" x14ac:dyDescent="0.2">
      <c r="K34" s="2"/>
      <c r="L34" s="2"/>
      <c r="M34" s="12"/>
      <c r="N34" s="12"/>
      <c r="O34" s="14"/>
      <c r="AK34" s="2"/>
      <c r="AL34" s="2"/>
      <c r="AM34" s="2"/>
      <c r="AN34" s="2"/>
    </row>
    <row r="35" spans="3:40" x14ac:dyDescent="0.2">
      <c r="K35" s="2"/>
      <c r="L35" s="2"/>
      <c r="M35" s="12"/>
      <c r="N35" s="12"/>
      <c r="O35" s="14"/>
      <c r="AK35" s="2"/>
      <c r="AL35" s="2"/>
      <c r="AM35" s="2"/>
      <c r="AN35" s="2"/>
    </row>
    <row r="36" spans="3:40" x14ac:dyDescent="0.2">
      <c r="K36" s="2"/>
      <c r="L36" s="2"/>
      <c r="M36" s="12"/>
      <c r="N36" s="12"/>
      <c r="O36" s="14"/>
      <c r="AK36" s="2"/>
      <c r="AL36" s="2"/>
      <c r="AM36" s="2"/>
      <c r="AN36" s="2"/>
    </row>
    <row r="37" spans="3:40" x14ac:dyDescent="0.2">
      <c r="K37" s="2"/>
      <c r="L37" s="2"/>
      <c r="M37" s="12"/>
      <c r="N37" s="12"/>
      <c r="O37" s="14"/>
      <c r="AK37" s="2"/>
      <c r="AL37" s="2"/>
      <c r="AM37" s="2"/>
      <c r="AN37" s="2"/>
    </row>
    <row r="38" spans="3:40" x14ac:dyDescent="0.2">
      <c r="K38" s="2"/>
      <c r="L38" s="2"/>
      <c r="M38" s="12"/>
      <c r="N38" s="12"/>
      <c r="O38" s="14"/>
      <c r="AK38" s="2"/>
      <c r="AL38" s="2"/>
      <c r="AM38" s="2"/>
      <c r="AN38" s="2"/>
    </row>
    <row r="39" spans="3:40" x14ac:dyDescent="0.2">
      <c r="K39" s="2"/>
      <c r="L39" s="2"/>
      <c r="M39" s="12"/>
      <c r="N39" s="12"/>
      <c r="O39" s="14"/>
      <c r="AK39" s="2"/>
      <c r="AL39" s="2"/>
      <c r="AM39" s="2"/>
      <c r="AN39" s="2"/>
    </row>
    <row r="40" spans="3:40" x14ac:dyDescent="0.2">
      <c r="K40" s="2"/>
      <c r="L40" s="2"/>
      <c r="M40" s="12"/>
      <c r="N40" s="12"/>
      <c r="O40" s="14"/>
      <c r="AK40" s="2"/>
      <c r="AL40" s="2"/>
      <c r="AM40" s="2"/>
      <c r="AN40" s="2"/>
    </row>
    <row r="41" spans="3:40" x14ac:dyDescent="0.2">
      <c r="K41" s="2"/>
      <c r="L41" s="2"/>
      <c r="M41" s="12"/>
      <c r="N41" s="12"/>
      <c r="O41" s="14"/>
      <c r="AK41" s="2"/>
      <c r="AL41" s="2"/>
      <c r="AM41" s="2"/>
      <c r="AN41" s="2"/>
    </row>
    <row r="42" spans="3:40" x14ac:dyDescent="0.2">
      <c r="K42" s="2"/>
      <c r="L42" s="2"/>
      <c r="M42" s="12"/>
      <c r="N42" s="12"/>
      <c r="O42" s="14"/>
      <c r="AK42" s="2"/>
      <c r="AL42" s="2"/>
      <c r="AM42" s="2"/>
      <c r="AN42" s="2"/>
    </row>
    <row r="43" spans="3:40" x14ac:dyDescent="0.2">
      <c r="C43" s="20"/>
      <c r="I43" s="2"/>
      <c r="J43" s="2"/>
      <c r="K43" s="2"/>
      <c r="L43" s="2"/>
      <c r="M43" s="2"/>
      <c r="P43" s="12"/>
      <c r="Q43" s="12"/>
      <c r="R43" s="14"/>
      <c r="AK43" s="2"/>
      <c r="AL43" s="2"/>
      <c r="AM43" s="2"/>
      <c r="AN43" s="2"/>
    </row>
    <row r="44" spans="3:40" x14ac:dyDescent="0.2">
      <c r="K44" s="2"/>
      <c r="L44" s="2"/>
      <c r="M44" s="2"/>
      <c r="AK44" s="2"/>
      <c r="AL44" s="2"/>
      <c r="AM44" s="2"/>
      <c r="AN44" s="2"/>
    </row>
    <row r="45" spans="3:40" x14ac:dyDescent="0.2">
      <c r="K45" s="2"/>
      <c r="L45" s="2"/>
      <c r="M45" s="2"/>
      <c r="AK45" s="2"/>
      <c r="AL45" s="2"/>
      <c r="AM45" s="2"/>
      <c r="AN45" s="2"/>
    </row>
    <row r="46" spans="3:40" x14ac:dyDescent="0.2">
      <c r="K46" s="2"/>
      <c r="L46" s="2"/>
      <c r="M46" s="2"/>
      <c r="AK46" s="2"/>
      <c r="AL46" s="2"/>
      <c r="AM46" s="2"/>
      <c r="AN46" s="2"/>
    </row>
    <row r="47" spans="3:40" x14ac:dyDescent="0.2">
      <c r="K47" s="2"/>
      <c r="L47" s="2"/>
      <c r="M47" s="2"/>
      <c r="AK47" s="2"/>
      <c r="AL47" s="2"/>
      <c r="AM47" s="2"/>
      <c r="AN47" s="2"/>
    </row>
    <row r="48" spans="3:40" x14ac:dyDescent="0.2">
      <c r="K48" s="2"/>
      <c r="L48" s="2"/>
      <c r="M48" s="2"/>
      <c r="AK48" s="2"/>
      <c r="AL48" s="2"/>
      <c r="AM48" s="2"/>
      <c r="AN48" s="2"/>
    </row>
    <row r="49" spans="11:40" x14ac:dyDescent="0.2">
      <c r="K49" s="2"/>
      <c r="L49" s="2"/>
      <c r="M49" s="2"/>
      <c r="AK49" s="2"/>
      <c r="AL49" s="2"/>
      <c r="AM49" s="2"/>
      <c r="AN49" s="2"/>
    </row>
    <row r="50" spans="11:40" x14ac:dyDescent="0.2">
      <c r="AK50" s="2"/>
      <c r="AL50" s="2"/>
      <c r="AM50" s="2"/>
      <c r="AN50" s="2"/>
    </row>
    <row r="51" spans="11:40" x14ac:dyDescent="0.2">
      <c r="AK51" s="2"/>
      <c r="AL51" s="2"/>
      <c r="AM51" s="2"/>
      <c r="AN51" s="2"/>
    </row>
    <row r="52" spans="11:40" x14ac:dyDescent="0.2">
      <c r="AK52" s="2"/>
      <c r="AL52" s="2"/>
      <c r="AM52" s="2"/>
      <c r="AN52" s="2"/>
    </row>
    <row r="53" spans="11:40" x14ac:dyDescent="0.2">
      <c r="AK53" s="2"/>
      <c r="AL53" s="2"/>
      <c r="AM53" s="2"/>
      <c r="AN53" s="2"/>
    </row>
    <row r="54" spans="11:40" x14ac:dyDescent="0.2">
      <c r="AK54" s="2"/>
      <c r="AL54" s="2"/>
      <c r="AM54" s="2"/>
      <c r="AN54" s="2"/>
    </row>
    <row r="55" spans="11:40" x14ac:dyDescent="0.2">
      <c r="AK55" s="2"/>
      <c r="AL55" s="2"/>
      <c r="AM55" s="2"/>
      <c r="AN55" s="2"/>
    </row>
    <row r="56" spans="11:40" x14ac:dyDescent="0.2">
      <c r="AK56" s="2"/>
      <c r="AL56" s="2"/>
      <c r="AM56" s="2"/>
      <c r="AN56" s="2"/>
    </row>
    <row r="57" spans="11:40" x14ac:dyDescent="0.2">
      <c r="AK57" s="2"/>
      <c r="AL57" s="2"/>
      <c r="AM57" s="2"/>
      <c r="AN57" s="2"/>
    </row>
    <row r="58" spans="11:40" x14ac:dyDescent="0.2">
      <c r="AK58" s="2"/>
      <c r="AL58" s="2"/>
      <c r="AM58" s="2"/>
      <c r="AN58" s="2"/>
    </row>
    <row r="59" spans="11:40" x14ac:dyDescent="0.2">
      <c r="AK59" s="2"/>
      <c r="AL59" s="2"/>
      <c r="AM59" s="2"/>
      <c r="AN59" s="2"/>
    </row>
    <row r="60" spans="11:40" x14ac:dyDescent="0.2">
      <c r="AK60" s="2"/>
      <c r="AL60" s="2"/>
      <c r="AM60" s="2"/>
      <c r="AN60" s="2"/>
    </row>
    <row r="61" spans="11:40" x14ac:dyDescent="0.2">
      <c r="AK61" s="2"/>
      <c r="AL61" s="2"/>
      <c r="AM61" s="2"/>
      <c r="AN61" s="2"/>
    </row>
    <row r="62" spans="11:40" x14ac:dyDescent="0.2">
      <c r="AK62" s="2"/>
      <c r="AL62" s="2"/>
      <c r="AM62" s="2"/>
      <c r="AN62" s="2"/>
    </row>
    <row r="63" spans="11:40" x14ac:dyDescent="0.2">
      <c r="AK63" s="2"/>
      <c r="AL63" s="2"/>
      <c r="AM63" s="2"/>
      <c r="AN63" s="2"/>
    </row>
    <row r="64" spans="11:40" x14ac:dyDescent="0.2">
      <c r="AK64" s="2"/>
      <c r="AL64" s="2"/>
      <c r="AM64" s="2"/>
      <c r="AN64" s="2"/>
    </row>
    <row r="65" spans="37:40" x14ac:dyDescent="0.2">
      <c r="AK65" s="2"/>
      <c r="AL65" s="2"/>
      <c r="AM65" s="2"/>
      <c r="AN65" s="2"/>
    </row>
    <row r="66" spans="37:40" x14ac:dyDescent="0.2">
      <c r="AK66" s="2"/>
      <c r="AL66" s="2"/>
      <c r="AM66" s="2"/>
      <c r="AN66" s="2"/>
    </row>
    <row r="67" spans="37:40" x14ac:dyDescent="0.2">
      <c r="AK67" s="2"/>
      <c r="AL67" s="2"/>
      <c r="AM67" s="2"/>
      <c r="AN67" s="2"/>
    </row>
    <row r="68" spans="37:40" x14ac:dyDescent="0.2">
      <c r="AK68" s="2"/>
      <c r="AL68" s="2"/>
      <c r="AM68" s="2"/>
      <c r="AN68" s="2"/>
    </row>
    <row r="69" spans="37:40" x14ac:dyDescent="0.2">
      <c r="AK69" s="2"/>
      <c r="AL69" s="2"/>
      <c r="AM69" s="2"/>
      <c r="AN69" s="2"/>
    </row>
    <row r="70" spans="37:40" x14ac:dyDescent="0.2">
      <c r="AK70" s="2"/>
      <c r="AL70" s="2"/>
      <c r="AM70" s="2"/>
      <c r="AN70" s="2"/>
    </row>
    <row r="71" spans="37:40" x14ac:dyDescent="0.2">
      <c r="AK71" s="2"/>
      <c r="AL71" s="2"/>
      <c r="AM71" s="2"/>
      <c r="AN71" s="2"/>
    </row>
    <row r="72" spans="37:40" x14ac:dyDescent="0.2">
      <c r="AK72" s="2"/>
      <c r="AL72" s="2"/>
      <c r="AM72" s="2"/>
      <c r="AN72" s="2"/>
    </row>
    <row r="73" spans="37:40" x14ac:dyDescent="0.2">
      <c r="AK73" s="2"/>
      <c r="AL73" s="2"/>
      <c r="AM73" s="2"/>
      <c r="AN73" s="2"/>
    </row>
    <row r="74" spans="37:40" x14ac:dyDescent="0.2">
      <c r="AK74" s="2"/>
      <c r="AL74" s="2"/>
      <c r="AM74" s="2"/>
      <c r="AN74" s="2"/>
    </row>
    <row r="75" spans="37:40" x14ac:dyDescent="0.2">
      <c r="AK75" s="2"/>
      <c r="AL75" s="2"/>
      <c r="AM75" s="2"/>
      <c r="AN75" s="2"/>
    </row>
    <row r="76" spans="37:40" x14ac:dyDescent="0.2">
      <c r="AK76" s="2"/>
      <c r="AL76" s="2"/>
      <c r="AM76" s="2"/>
      <c r="AN76" s="2"/>
    </row>
    <row r="77" spans="37:40" x14ac:dyDescent="0.2">
      <c r="AK77" s="2"/>
      <c r="AL77" s="2"/>
      <c r="AM77" s="2"/>
      <c r="AN77" s="2"/>
    </row>
    <row r="78" spans="37:40" x14ac:dyDescent="0.2">
      <c r="AK78" s="2"/>
      <c r="AL78" s="2"/>
      <c r="AM78" s="2"/>
      <c r="AN78" s="2"/>
    </row>
    <row r="79" spans="37:40" x14ac:dyDescent="0.2">
      <c r="AK79" s="2"/>
      <c r="AL79" s="2"/>
      <c r="AM79" s="2"/>
      <c r="AN79" s="2"/>
    </row>
    <row r="80" spans="37:40" x14ac:dyDescent="0.2">
      <c r="AK80" s="2"/>
      <c r="AL80" s="2"/>
      <c r="AM80" s="2"/>
      <c r="AN80" s="2"/>
    </row>
    <row r="81" spans="37:40" x14ac:dyDescent="0.2">
      <c r="AK81" s="2"/>
      <c r="AL81" s="2"/>
      <c r="AM81" s="2"/>
      <c r="AN81" s="2"/>
    </row>
    <row r="82" spans="37:40" x14ac:dyDescent="0.2">
      <c r="AK82" s="2"/>
      <c r="AL82" s="2"/>
      <c r="AM82" s="2"/>
      <c r="AN82" s="2"/>
    </row>
    <row r="83" spans="37:40" x14ac:dyDescent="0.2">
      <c r="AK83" s="2"/>
      <c r="AL83" s="2"/>
      <c r="AM83" s="2"/>
      <c r="AN83" s="2"/>
    </row>
    <row r="84" spans="37:40" x14ac:dyDescent="0.2">
      <c r="AK84" s="2"/>
      <c r="AL84" s="2"/>
      <c r="AM84" s="2"/>
      <c r="AN84" s="2"/>
    </row>
    <row r="85" spans="37:40" x14ac:dyDescent="0.2">
      <c r="AK85" s="2"/>
      <c r="AL85" s="2"/>
      <c r="AM85" s="2"/>
      <c r="AN85" s="2"/>
    </row>
    <row r="86" spans="37:40" x14ac:dyDescent="0.2">
      <c r="AK86" s="2"/>
      <c r="AL86" s="2"/>
      <c r="AM86" s="2"/>
      <c r="AN86" s="2"/>
    </row>
    <row r="87" spans="37:40" x14ac:dyDescent="0.2">
      <c r="AK87" s="2"/>
      <c r="AL87" s="2"/>
      <c r="AM87" s="2"/>
      <c r="AN87" s="2"/>
    </row>
    <row r="88" spans="37:40" x14ac:dyDescent="0.2">
      <c r="AK88" s="2"/>
      <c r="AL88" s="2"/>
      <c r="AM88" s="2"/>
      <c r="AN88" s="2"/>
    </row>
    <row r="89" spans="37:40" x14ac:dyDescent="0.2">
      <c r="AK89" s="2"/>
      <c r="AL89" s="2"/>
      <c r="AM89" s="2"/>
      <c r="AN89" s="2"/>
    </row>
    <row r="90" spans="37:40" x14ac:dyDescent="0.2">
      <c r="AK90" s="2"/>
      <c r="AL90" s="2"/>
      <c r="AM90" s="2"/>
      <c r="AN90" s="2"/>
    </row>
    <row r="91" spans="37:40" x14ac:dyDescent="0.2">
      <c r="AK91" s="2"/>
      <c r="AL91" s="2"/>
      <c r="AM91" s="2"/>
      <c r="AN91" s="2"/>
    </row>
    <row r="92" spans="37:40" x14ac:dyDescent="0.2">
      <c r="AK92" s="2"/>
      <c r="AL92" s="2"/>
      <c r="AM92" s="2"/>
      <c r="AN92" s="2"/>
    </row>
    <row r="93" spans="37:40" x14ac:dyDescent="0.2">
      <c r="AK93" s="2"/>
      <c r="AL93" s="2"/>
      <c r="AM93" s="2"/>
      <c r="AN93" s="2"/>
    </row>
    <row r="94" spans="37:40" x14ac:dyDescent="0.2">
      <c r="AK94" s="2"/>
      <c r="AL94" s="2"/>
      <c r="AM94" s="2"/>
      <c r="AN94" s="2"/>
    </row>
    <row r="95" spans="37:40" x14ac:dyDescent="0.2">
      <c r="AK95" s="2"/>
      <c r="AL95" s="2"/>
      <c r="AM95" s="2"/>
      <c r="AN95" s="2"/>
    </row>
    <row r="96" spans="37:40" x14ac:dyDescent="0.2">
      <c r="AK96" s="2"/>
      <c r="AL96" s="2"/>
      <c r="AM96" s="2"/>
      <c r="AN96" s="2"/>
    </row>
    <row r="97" spans="37:40" x14ac:dyDescent="0.2">
      <c r="AK97" s="2"/>
      <c r="AL97" s="2"/>
      <c r="AM97" s="2"/>
      <c r="AN97" s="2"/>
    </row>
    <row r="98" spans="37:40" x14ac:dyDescent="0.2">
      <c r="AK98" s="2"/>
      <c r="AL98" s="2"/>
      <c r="AM98" s="2"/>
      <c r="AN98" s="2"/>
    </row>
    <row r="99" spans="37:40" x14ac:dyDescent="0.2">
      <c r="AK99" s="2"/>
      <c r="AL99" s="2"/>
      <c r="AM99" s="2"/>
      <c r="AN99" s="2"/>
    </row>
    <row r="100" spans="37:40" x14ac:dyDescent="0.2">
      <c r="AK100" s="2"/>
      <c r="AL100" s="2"/>
      <c r="AM100" s="2"/>
      <c r="AN100" s="2"/>
    </row>
    <row r="101" spans="37:40" x14ac:dyDescent="0.2">
      <c r="AK101" s="2"/>
      <c r="AL101" s="2"/>
      <c r="AM101" s="2"/>
      <c r="AN101" s="2"/>
    </row>
    <row r="102" spans="37:40" x14ac:dyDescent="0.2">
      <c r="AK102" s="2"/>
      <c r="AL102" s="2"/>
      <c r="AM102" s="2"/>
      <c r="AN102" s="2"/>
    </row>
    <row r="103" spans="37:40" x14ac:dyDescent="0.2">
      <c r="AK103" s="2"/>
      <c r="AL103" s="2"/>
      <c r="AM103" s="2"/>
      <c r="AN103" s="2"/>
    </row>
    <row r="104" spans="37:40" x14ac:dyDescent="0.2">
      <c r="AK104" s="2"/>
      <c r="AL104" s="2"/>
      <c r="AM104" s="2"/>
      <c r="AN104" s="2"/>
    </row>
    <row r="105" spans="37:40" x14ac:dyDescent="0.2">
      <c r="AK105" s="2"/>
      <c r="AL105" s="2"/>
      <c r="AM105" s="2"/>
      <c r="AN105" s="2"/>
    </row>
    <row r="106" spans="37:40" x14ac:dyDescent="0.2">
      <c r="AK106" s="2"/>
      <c r="AL106" s="2"/>
      <c r="AM106" s="2"/>
      <c r="AN106" s="2"/>
    </row>
    <row r="107" spans="37:40" x14ac:dyDescent="0.2">
      <c r="AK107" s="2"/>
      <c r="AL107" s="2"/>
      <c r="AM107" s="2"/>
      <c r="AN107" s="2"/>
    </row>
    <row r="108" spans="37:40" x14ac:dyDescent="0.2">
      <c r="AK108" s="2"/>
      <c r="AL108" s="2"/>
      <c r="AM108" s="2"/>
      <c r="AN108" s="2"/>
    </row>
    <row r="109" spans="37:40" x14ac:dyDescent="0.2">
      <c r="AK109" s="2"/>
      <c r="AL109" s="2"/>
      <c r="AM109" s="2"/>
      <c r="AN109" s="2"/>
    </row>
    <row r="110" spans="37:40" x14ac:dyDescent="0.2">
      <c r="AK110" s="2"/>
      <c r="AL110" s="2"/>
      <c r="AM110" s="2"/>
      <c r="AN110" s="2"/>
    </row>
    <row r="111" spans="37:40" x14ac:dyDescent="0.2">
      <c r="AK111" s="2"/>
      <c r="AL111" s="2"/>
      <c r="AM111" s="2"/>
      <c r="AN111" s="2"/>
    </row>
    <row r="112" spans="37:40" x14ac:dyDescent="0.2">
      <c r="AK112" s="2"/>
      <c r="AL112" s="2"/>
      <c r="AM112" s="2"/>
      <c r="AN112" s="2"/>
    </row>
    <row r="113" spans="37:40" x14ac:dyDescent="0.2">
      <c r="AK113" s="2"/>
      <c r="AL113" s="2"/>
      <c r="AM113" s="2"/>
      <c r="AN113" s="2"/>
    </row>
    <row r="114" spans="37:40" x14ac:dyDescent="0.2">
      <c r="AK114" s="2"/>
      <c r="AL114" s="2"/>
      <c r="AM114" s="2"/>
      <c r="AN114" s="2"/>
    </row>
    <row r="115" spans="37:40" x14ac:dyDescent="0.2">
      <c r="AK115" s="2"/>
      <c r="AL115" s="2"/>
      <c r="AM115" s="2"/>
      <c r="AN115" s="2"/>
    </row>
    <row r="116" spans="37:40" x14ac:dyDescent="0.2">
      <c r="AK116" s="2"/>
      <c r="AL116" s="2"/>
      <c r="AM116" s="2"/>
      <c r="AN116" s="2"/>
    </row>
    <row r="117" spans="37:40" x14ac:dyDescent="0.2">
      <c r="AK117" s="2"/>
      <c r="AL117" s="2"/>
      <c r="AM117" s="2"/>
      <c r="AN117" s="2"/>
    </row>
    <row r="118" spans="37:40" x14ac:dyDescent="0.2">
      <c r="AK118" s="2"/>
      <c r="AL118" s="2"/>
      <c r="AM118" s="2"/>
      <c r="AN118" s="2"/>
    </row>
    <row r="119" spans="37:40" x14ac:dyDescent="0.2">
      <c r="AK119" s="2"/>
      <c r="AL119" s="2"/>
      <c r="AM119" s="2"/>
      <c r="AN119" s="2"/>
    </row>
    <row r="120" spans="37:40" x14ac:dyDescent="0.2">
      <c r="AK120" s="2"/>
      <c r="AL120" s="2"/>
      <c r="AM120" s="2"/>
      <c r="AN120" s="2"/>
    </row>
    <row r="121" spans="37:40" x14ac:dyDescent="0.2">
      <c r="AK121" s="2"/>
      <c r="AL121" s="2"/>
      <c r="AM121" s="2"/>
      <c r="AN121" s="2"/>
    </row>
    <row r="122" spans="37:40" x14ac:dyDescent="0.2">
      <c r="AK122" s="2"/>
      <c r="AL122" s="2"/>
      <c r="AM122" s="2"/>
      <c r="AN122" s="2"/>
    </row>
    <row r="123" spans="37:40" x14ac:dyDescent="0.2">
      <c r="AK123" s="2"/>
      <c r="AL123" s="2"/>
      <c r="AM123" s="2"/>
      <c r="AN123" s="2"/>
    </row>
    <row r="124" spans="37:40" x14ac:dyDescent="0.2">
      <c r="AK124" s="2"/>
      <c r="AL124" s="2"/>
      <c r="AM124" s="2"/>
      <c r="AN124" s="2"/>
    </row>
    <row r="125" spans="37:40" x14ac:dyDescent="0.2">
      <c r="AK125" s="2"/>
      <c r="AL125" s="2"/>
      <c r="AM125" s="2"/>
      <c r="AN125" s="2"/>
    </row>
    <row r="126" spans="37:40" x14ac:dyDescent="0.2">
      <c r="AK126" s="2"/>
      <c r="AL126" s="2"/>
      <c r="AM126" s="2"/>
      <c r="AN126" s="2"/>
    </row>
    <row r="127" spans="37:40" x14ac:dyDescent="0.2">
      <c r="AK127" s="2"/>
      <c r="AL127" s="2"/>
      <c r="AM127" s="2"/>
      <c r="AN127" s="2"/>
    </row>
    <row r="128" spans="37:40" x14ac:dyDescent="0.2">
      <c r="AK128" s="2"/>
      <c r="AL128" s="2"/>
      <c r="AM128" s="2"/>
      <c r="AN128" s="2"/>
    </row>
    <row r="129" spans="37:40" x14ac:dyDescent="0.2">
      <c r="AK129" s="2"/>
      <c r="AL129" s="2"/>
      <c r="AM129" s="2"/>
      <c r="AN129" s="2"/>
    </row>
    <row r="130" spans="37:40" x14ac:dyDescent="0.2">
      <c r="AK130" s="2"/>
      <c r="AL130" s="2"/>
      <c r="AM130" s="2"/>
      <c r="AN130" s="2"/>
    </row>
    <row r="131" spans="37:40" x14ac:dyDescent="0.2">
      <c r="AK131" s="2"/>
      <c r="AL131" s="2"/>
      <c r="AM131" s="2"/>
      <c r="AN131" s="2"/>
    </row>
    <row r="132" spans="37:40" x14ac:dyDescent="0.2">
      <c r="AK132" s="2"/>
      <c r="AL132" s="2"/>
      <c r="AM132" s="2"/>
      <c r="AN132" s="2"/>
    </row>
    <row r="133" spans="37:40" x14ac:dyDescent="0.2">
      <c r="AK133" s="2"/>
      <c r="AL133" s="2"/>
      <c r="AM133" s="2"/>
      <c r="AN133" s="2"/>
    </row>
    <row r="134" spans="37:40" x14ac:dyDescent="0.2">
      <c r="AK134" s="2"/>
      <c r="AL134" s="2"/>
      <c r="AM134" s="2"/>
      <c r="AN134" s="2"/>
    </row>
    <row r="135" spans="37:40" x14ac:dyDescent="0.2">
      <c r="AK135" s="2"/>
      <c r="AL135" s="2"/>
      <c r="AM135" s="2"/>
      <c r="AN135" s="2"/>
    </row>
    <row r="136" spans="37:40" x14ac:dyDescent="0.2">
      <c r="AK136" s="2"/>
      <c r="AL136" s="2"/>
      <c r="AM136" s="2"/>
      <c r="AN136" s="2"/>
    </row>
    <row r="137" spans="37:40" x14ac:dyDescent="0.2">
      <c r="AK137" s="2"/>
      <c r="AL137" s="2"/>
      <c r="AM137" s="2"/>
      <c r="AN137" s="2"/>
    </row>
    <row r="138" spans="37:40" x14ac:dyDescent="0.2">
      <c r="AK138" s="2"/>
      <c r="AL138" s="2"/>
      <c r="AM138" s="2"/>
      <c r="AN138" s="2"/>
    </row>
    <row r="139" spans="37:40" x14ac:dyDescent="0.2">
      <c r="AK139" s="2"/>
      <c r="AL139" s="2"/>
      <c r="AM139" s="2"/>
      <c r="AN139" s="2"/>
    </row>
    <row r="140" spans="37:40" x14ac:dyDescent="0.2">
      <c r="AK140" s="2"/>
      <c r="AL140" s="2"/>
      <c r="AM140" s="2"/>
      <c r="AN140" s="2"/>
    </row>
    <row r="141" spans="37:40" x14ac:dyDescent="0.2">
      <c r="AK141" s="2"/>
      <c r="AL141" s="2"/>
      <c r="AM141" s="2"/>
      <c r="AN141" s="2"/>
    </row>
    <row r="142" spans="37:40" x14ac:dyDescent="0.2">
      <c r="AK142" s="2"/>
      <c r="AL142" s="2"/>
      <c r="AM142" s="2"/>
      <c r="AN142" s="2"/>
    </row>
    <row r="143" spans="37:40" x14ac:dyDescent="0.2">
      <c r="AK143" s="2"/>
      <c r="AL143" s="2"/>
      <c r="AM143" s="2"/>
      <c r="AN143" s="2"/>
    </row>
    <row r="144" spans="37:40" x14ac:dyDescent="0.2">
      <c r="AK144" s="2"/>
      <c r="AL144" s="2"/>
      <c r="AM144" s="2"/>
      <c r="AN144" s="2"/>
    </row>
    <row r="145" spans="37:40" x14ac:dyDescent="0.2">
      <c r="AK145" s="2"/>
      <c r="AL145" s="2"/>
      <c r="AM145" s="2"/>
      <c r="AN145" s="2"/>
    </row>
    <row r="146" spans="37:40" x14ac:dyDescent="0.2">
      <c r="AK146" s="2"/>
      <c r="AL146" s="2"/>
      <c r="AM146" s="2"/>
      <c r="AN146" s="2"/>
    </row>
    <row r="147" spans="37:40" x14ac:dyDescent="0.2">
      <c r="AK147" s="2"/>
      <c r="AL147" s="2"/>
      <c r="AM147" s="2"/>
      <c r="AN147" s="2"/>
    </row>
    <row r="148" spans="37:40" x14ac:dyDescent="0.2">
      <c r="AK148" s="2"/>
      <c r="AL148" s="2"/>
      <c r="AM148" s="2"/>
      <c r="AN148" s="2"/>
    </row>
    <row r="149" spans="37:40" x14ac:dyDescent="0.2">
      <c r="AK149" s="2"/>
      <c r="AL149" s="2"/>
      <c r="AM149" s="2"/>
      <c r="AN149" s="2"/>
    </row>
    <row r="150" spans="37:40" x14ac:dyDescent="0.2">
      <c r="AK150" s="2"/>
      <c r="AL150" s="2"/>
      <c r="AM150" s="2"/>
      <c r="AN150" s="2"/>
    </row>
    <row r="151" spans="37:40" x14ac:dyDescent="0.2">
      <c r="AK151" s="2"/>
      <c r="AL151" s="2"/>
      <c r="AM151" s="2"/>
      <c r="AN151" s="2"/>
    </row>
    <row r="152" spans="37:40" x14ac:dyDescent="0.2">
      <c r="AK152" s="2"/>
      <c r="AL152" s="2"/>
      <c r="AM152" s="2"/>
      <c r="AN152" s="2"/>
    </row>
    <row r="153" spans="37:40" x14ac:dyDescent="0.2">
      <c r="AK153" s="2"/>
      <c r="AL153" s="2"/>
      <c r="AM153" s="2"/>
      <c r="AN153" s="2"/>
    </row>
    <row r="154" spans="37:40" x14ac:dyDescent="0.2">
      <c r="AK154" s="2"/>
      <c r="AL154" s="2"/>
      <c r="AM154" s="2"/>
      <c r="AN154" s="2"/>
    </row>
    <row r="155" spans="37:40" x14ac:dyDescent="0.2">
      <c r="AK155" s="2"/>
      <c r="AL155" s="2"/>
      <c r="AM155" s="2"/>
      <c r="AN155" s="2"/>
    </row>
    <row r="156" spans="37:40" x14ac:dyDescent="0.2">
      <c r="AK156" s="2"/>
      <c r="AL156" s="2"/>
      <c r="AM156" s="2"/>
      <c r="AN156" s="2"/>
    </row>
    <row r="157" spans="37:40" x14ac:dyDescent="0.2">
      <c r="AK157" s="2"/>
      <c r="AL157" s="2"/>
      <c r="AM157" s="2"/>
      <c r="AN157" s="2"/>
    </row>
    <row r="158" spans="37:40" x14ac:dyDescent="0.2">
      <c r="AK158" s="2"/>
      <c r="AL158" s="2"/>
      <c r="AM158" s="2"/>
      <c r="AN158" s="2"/>
    </row>
    <row r="159" spans="37:40" x14ac:dyDescent="0.2">
      <c r="AK159" s="2"/>
      <c r="AL159" s="2"/>
      <c r="AM159" s="2"/>
      <c r="AN159" s="2"/>
    </row>
    <row r="160" spans="37:40" x14ac:dyDescent="0.2">
      <c r="AK160" s="2"/>
      <c r="AL160" s="2"/>
      <c r="AM160" s="2"/>
      <c r="AN160" s="2"/>
    </row>
    <row r="161" spans="37:40" x14ac:dyDescent="0.2">
      <c r="AK161" s="2"/>
      <c r="AL161" s="2"/>
      <c r="AM161" s="2"/>
      <c r="AN161" s="2"/>
    </row>
    <row r="162" spans="37:40" x14ac:dyDescent="0.2">
      <c r="AK162" s="2"/>
      <c r="AL162" s="2"/>
      <c r="AM162" s="2"/>
      <c r="AN162" s="2"/>
    </row>
    <row r="163" spans="37:40" x14ac:dyDescent="0.2">
      <c r="AK163" s="2"/>
      <c r="AL163" s="2"/>
      <c r="AM163" s="2"/>
      <c r="AN163" s="2"/>
    </row>
    <row r="164" spans="37:40" x14ac:dyDescent="0.2">
      <c r="AK164" s="2"/>
      <c r="AL164" s="2"/>
      <c r="AM164" s="2"/>
      <c r="AN164" s="2"/>
    </row>
    <row r="165" spans="37:40" x14ac:dyDescent="0.2">
      <c r="AK165" s="2"/>
      <c r="AL165" s="2"/>
      <c r="AM165" s="2"/>
      <c r="AN165" s="2"/>
    </row>
    <row r="166" spans="37:40" x14ac:dyDescent="0.2">
      <c r="AK166" s="2"/>
      <c r="AL166" s="2"/>
      <c r="AM166" s="2"/>
      <c r="AN166" s="2"/>
    </row>
    <row r="167" spans="37:40" x14ac:dyDescent="0.2">
      <c r="AK167" s="2"/>
      <c r="AL167" s="2"/>
      <c r="AM167" s="2"/>
      <c r="AN167" s="2"/>
    </row>
    <row r="168" spans="37:40" x14ac:dyDescent="0.2">
      <c r="AK168" s="2"/>
      <c r="AL168" s="2"/>
      <c r="AM168" s="2"/>
      <c r="AN168" s="2"/>
    </row>
    <row r="169" spans="37:40" x14ac:dyDescent="0.2">
      <c r="AK169" s="2"/>
      <c r="AL169" s="2"/>
      <c r="AM169" s="2"/>
      <c r="AN169" s="2"/>
    </row>
    <row r="170" spans="37:40" x14ac:dyDescent="0.2">
      <c r="AK170" s="2"/>
      <c r="AL170" s="2"/>
      <c r="AM170" s="2"/>
      <c r="AN170" s="2"/>
    </row>
    <row r="171" spans="37:40" x14ac:dyDescent="0.2">
      <c r="AK171" s="2"/>
      <c r="AL171" s="2"/>
      <c r="AM171" s="2"/>
      <c r="AN171" s="2"/>
    </row>
    <row r="172" spans="37:40" x14ac:dyDescent="0.2">
      <c r="AK172" s="2"/>
      <c r="AL172" s="2"/>
      <c r="AM172" s="2"/>
      <c r="AN172" s="2"/>
    </row>
    <row r="173" spans="37:40" x14ac:dyDescent="0.2">
      <c r="AK173" s="2"/>
      <c r="AL173" s="2"/>
      <c r="AM173" s="2"/>
      <c r="AN173" s="2"/>
    </row>
    <row r="174" spans="37:40" x14ac:dyDescent="0.2">
      <c r="AK174" s="2"/>
      <c r="AL174" s="2"/>
      <c r="AM174" s="2"/>
      <c r="AN174" s="2"/>
    </row>
    <row r="175" spans="37:40" x14ac:dyDescent="0.2">
      <c r="AK175" s="2"/>
      <c r="AL175" s="2"/>
      <c r="AM175" s="2"/>
      <c r="AN175" s="2"/>
    </row>
    <row r="176" spans="37:40" x14ac:dyDescent="0.2">
      <c r="AK176" s="2"/>
      <c r="AL176" s="2"/>
      <c r="AM176" s="2"/>
      <c r="AN176" s="2"/>
    </row>
    <row r="177" spans="37:40" x14ac:dyDescent="0.2">
      <c r="AK177" s="2"/>
      <c r="AL177" s="2"/>
      <c r="AM177" s="2"/>
      <c r="AN177" s="2"/>
    </row>
    <row r="178" spans="37:40" x14ac:dyDescent="0.2">
      <c r="AK178" s="2"/>
      <c r="AL178" s="2"/>
      <c r="AM178" s="2"/>
      <c r="AN178" s="2"/>
    </row>
    <row r="179" spans="37:40" x14ac:dyDescent="0.2">
      <c r="AK179" s="2"/>
      <c r="AL179" s="2"/>
      <c r="AM179" s="2"/>
      <c r="AN179" s="2"/>
    </row>
    <row r="180" spans="37:40" x14ac:dyDescent="0.2">
      <c r="AK180" s="2"/>
      <c r="AL180" s="2"/>
      <c r="AM180" s="2"/>
      <c r="AN180" s="2"/>
    </row>
    <row r="181" spans="37:40" x14ac:dyDescent="0.2">
      <c r="AK181" s="2"/>
      <c r="AL181" s="2"/>
      <c r="AM181" s="2"/>
      <c r="AN181" s="2"/>
    </row>
    <row r="182" spans="37:40" x14ac:dyDescent="0.2">
      <c r="AK182" s="2"/>
      <c r="AL182" s="2"/>
      <c r="AM182" s="2"/>
      <c r="AN182" s="2"/>
    </row>
    <row r="183" spans="37:40" x14ac:dyDescent="0.2">
      <c r="AK183" s="2"/>
      <c r="AL183" s="2"/>
      <c r="AM183" s="2"/>
      <c r="AN183" s="2"/>
    </row>
    <row r="184" spans="37:40" x14ac:dyDescent="0.2">
      <c r="AK184" s="2"/>
      <c r="AL184" s="2"/>
      <c r="AM184" s="2"/>
      <c r="AN184" s="2"/>
    </row>
    <row r="185" spans="37:40" x14ac:dyDescent="0.2">
      <c r="AK185" s="2"/>
      <c r="AL185" s="2"/>
      <c r="AM185" s="2"/>
      <c r="AN185" s="2"/>
    </row>
    <row r="186" spans="37:40" x14ac:dyDescent="0.2">
      <c r="AK186" s="2"/>
      <c r="AL186" s="2"/>
      <c r="AM186" s="2"/>
      <c r="AN186" s="2"/>
    </row>
    <row r="187" spans="37:40" x14ac:dyDescent="0.2">
      <c r="AK187" s="2"/>
      <c r="AL187" s="2"/>
      <c r="AM187" s="2"/>
      <c r="AN187" s="2"/>
    </row>
    <row r="188" spans="37:40" x14ac:dyDescent="0.2">
      <c r="AK188" s="2"/>
      <c r="AL188" s="2"/>
      <c r="AM188" s="2"/>
      <c r="AN188" s="2"/>
    </row>
    <row r="189" spans="37:40" x14ac:dyDescent="0.2">
      <c r="AK189" s="2"/>
      <c r="AL189" s="2"/>
      <c r="AM189" s="2"/>
      <c r="AN189" s="2"/>
    </row>
    <row r="190" spans="37:40" x14ac:dyDescent="0.2">
      <c r="AK190" s="2"/>
      <c r="AL190" s="2"/>
      <c r="AM190" s="2"/>
      <c r="AN190" s="2"/>
    </row>
    <row r="191" spans="37:40" x14ac:dyDescent="0.2">
      <c r="AK191" s="2"/>
      <c r="AL191" s="2"/>
      <c r="AM191" s="2"/>
      <c r="AN191" s="2"/>
    </row>
    <row r="192" spans="37:40" x14ac:dyDescent="0.2">
      <c r="AK192" s="2"/>
      <c r="AL192" s="2"/>
      <c r="AM192" s="2"/>
      <c r="AN192" s="2"/>
    </row>
    <row r="193" spans="37:40" x14ac:dyDescent="0.2">
      <c r="AK193" s="2"/>
      <c r="AL193" s="2"/>
      <c r="AM193" s="2"/>
      <c r="AN193" s="2"/>
    </row>
    <row r="194" spans="37:40" x14ac:dyDescent="0.2">
      <c r="AK194" s="2"/>
      <c r="AL194" s="2"/>
      <c r="AM194" s="2"/>
      <c r="AN194" s="2"/>
    </row>
    <row r="195" spans="37:40" x14ac:dyDescent="0.2">
      <c r="AK195" s="2"/>
      <c r="AL195" s="2"/>
      <c r="AM195" s="2"/>
      <c r="AN195" s="2"/>
    </row>
    <row r="196" spans="37:40" x14ac:dyDescent="0.2">
      <c r="AK196" s="2"/>
      <c r="AL196" s="2"/>
      <c r="AM196" s="2"/>
      <c r="AN196" s="2"/>
    </row>
    <row r="197" spans="37:40" x14ac:dyDescent="0.2">
      <c r="AK197" s="2"/>
      <c r="AL197" s="2"/>
      <c r="AM197" s="2"/>
      <c r="AN197" s="2"/>
    </row>
    <row r="198" spans="37:40" x14ac:dyDescent="0.2">
      <c r="AK198" s="2"/>
      <c r="AL198" s="2"/>
      <c r="AM198" s="2"/>
      <c r="AN198" s="2"/>
    </row>
    <row r="199" spans="37:40" x14ac:dyDescent="0.2">
      <c r="AK199" s="2"/>
      <c r="AL199" s="2"/>
      <c r="AM199" s="2"/>
      <c r="AN199" s="2"/>
    </row>
    <row r="200" spans="37:40" x14ac:dyDescent="0.2">
      <c r="AK200" s="2"/>
      <c r="AL200" s="2"/>
      <c r="AM200" s="2"/>
      <c r="AN200" s="2"/>
    </row>
    <row r="201" spans="37:40" x14ac:dyDescent="0.2">
      <c r="AK201" s="2"/>
      <c r="AL201" s="2"/>
      <c r="AM201" s="2"/>
      <c r="AN201" s="2"/>
    </row>
    <row r="202" spans="37:40" x14ac:dyDescent="0.2">
      <c r="AK202" s="2"/>
      <c r="AL202" s="2"/>
      <c r="AM202" s="2"/>
      <c r="AN202" s="2"/>
    </row>
    <row r="203" spans="37:40" x14ac:dyDescent="0.2">
      <c r="AK203" s="2"/>
      <c r="AL203" s="2"/>
      <c r="AM203" s="2"/>
      <c r="AN203" s="2"/>
    </row>
    <row r="204" spans="37:40" x14ac:dyDescent="0.2">
      <c r="AK204" s="2"/>
      <c r="AL204" s="2"/>
      <c r="AM204" s="2"/>
      <c r="AN204" s="2"/>
    </row>
    <row r="205" spans="37:40" x14ac:dyDescent="0.2">
      <c r="AK205" s="2"/>
      <c r="AL205" s="2"/>
      <c r="AM205" s="2"/>
      <c r="AN205" s="2"/>
    </row>
    <row r="206" spans="37:40" x14ac:dyDescent="0.2">
      <c r="AK206" s="2"/>
      <c r="AL206" s="2"/>
      <c r="AM206" s="2"/>
      <c r="AN206" s="2"/>
    </row>
    <row r="207" spans="37:40" x14ac:dyDescent="0.2">
      <c r="AK207" s="2"/>
      <c r="AL207" s="2"/>
      <c r="AM207" s="2"/>
      <c r="AN207" s="2"/>
    </row>
    <row r="208" spans="37:40" x14ac:dyDescent="0.2">
      <c r="AK208" s="2"/>
      <c r="AL208" s="2"/>
      <c r="AM208" s="2"/>
      <c r="AN208" s="2"/>
    </row>
    <row r="209" spans="37:40" x14ac:dyDescent="0.2">
      <c r="AK209" s="2"/>
      <c r="AL209" s="2"/>
      <c r="AM209" s="2"/>
      <c r="AN209" s="2"/>
    </row>
    <row r="210" spans="37:40" x14ac:dyDescent="0.2">
      <c r="AK210" s="2"/>
      <c r="AL210" s="2"/>
      <c r="AM210" s="2"/>
      <c r="AN210" s="2"/>
    </row>
    <row r="211" spans="37:40" x14ac:dyDescent="0.2">
      <c r="AK211" s="2"/>
      <c r="AL211" s="2"/>
      <c r="AM211" s="2"/>
      <c r="AN211" s="2"/>
    </row>
    <row r="212" spans="37:40" x14ac:dyDescent="0.2">
      <c r="AK212" s="2"/>
      <c r="AL212" s="2"/>
      <c r="AM212" s="2"/>
      <c r="AN212" s="2"/>
    </row>
    <row r="213" spans="37:40" x14ac:dyDescent="0.2">
      <c r="AK213" s="2"/>
      <c r="AL213" s="2"/>
      <c r="AM213" s="2"/>
      <c r="AN213" s="2"/>
    </row>
    <row r="214" spans="37:40" x14ac:dyDescent="0.2">
      <c r="AK214" s="2"/>
      <c r="AL214" s="2"/>
      <c r="AM214" s="2"/>
      <c r="AN214" s="2"/>
    </row>
    <row r="215" spans="37:40" x14ac:dyDescent="0.2">
      <c r="AK215" s="2"/>
      <c r="AL215" s="2"/>
      <c r="AM215" s="2"/>
      <c r="AN215" s="2"/>
    </row>
    <row r="216" spans="37:40" x14ac:dyDescent="0.2">
      <c r="AK216" s="2"/>
      <c r="AL216" s="2"/>
      <c r="AM216" s="2"/>
      <c r="AN216" s="2"/>
    </row>
    <row r="217" spans="37:40" x14ac:dyDescent="0.2">
      <c r="AK217" s="2"/>
      <c r="AL217" s="2"/>
      <c r="AM217" s="2"/>
      <c r="AN217" s="2"/>
    </row>
    <row r="218" spans="37:40" x14ac:dyDescent="0.2">
      <c r="AK218" s="2"/>
      <c r="AL218" s="2"/>
      <c r="AM218" s="2"/>
      <c r="AN218" s="2"/>
    </row>
    <row r="219" spans="37:40" x14ac:dyDescent="0.2">
      <c r="AK219" s="2"/>
      <c r="AL219" s="2"/>
      <c r="AM219" s="2"/>
      <c r="AN219" s="2"/>
    </row>
    <row r="220" spans="37:40" x14ac:dyDescent="0.2">
      <c r="AK220" s="2"/>
      <c r="AL220" s="2"/>
      <c r="AM220" s="2"/>
      <c r="AN220" s="2"/>
    </row>
    <row r="221" spans="37:40" x14ac:dyDescent="0.2">
      <c r="AK221" s="2"/>
      <c r="AL221" s="2"/>
      <c r="AM221" s="2"/>
      <c r="AN221" s="2"/>
    </row>
    <row r="222" spans="37:40" x14ac:dyDescent="0.2">
      <c r="AK222" s="2"/>
      <c r="AL222" s="2"/>
      <c r="AM222" s="2"/>
      <c r="AN222" s="2"/>
    </row>
    <row r="223" spans="37:40" x14ac:dyDescent="0.2">
      <c r="AK223" s="2"/>
      <c r="AL223" s="2"/>
      <c r="AM223" s="2"/>
      <c r="AN223" s="2"/>
    </row>
    <row r="224" spans="37:40" x14ac:dyDescent="0.2">
      <c r="AK224" s="2"/>
      <c r="AL224" s="2"/>
      <c r="AM224" s="2"/>
      <c r="AN224" s="2"/>
    </row>
    <row r="225" spans="37:40" x14ac:dyDescent="0.2">
      <c r="AK225" s="2"/>
      <c r="AL225" s="2"/>
      <c r="AM225" s="2"/>
      <c r="AN225" s="2"/>
    </row>
    <row r="226" spans="37:40" x14ac:dyDescent="0.2">
      <c r="AK226" s="2"/>
      <c r="AL226" s="2"/>
      <c r="AM226" s="2"/>
      <c r="AN226" s="2"/>
    </row>
    <row r="227" spans="37:40" x14ac:dyDescent="0.2">
      <c r="AK227" s="2"/>
      <c r="AL227" s="2"/>
      <c r="AM227" s="2"/>
      <c r="AN227" s="2"/>
    </row>
    <row r="228" spans="37:40" x14ac:dyDescent="0.2">
      <c r="AK228" s="2"/>
      <c r="AL228" s="2"/>
      <c r="AM228" s="2"/>
      <c r="AN228" s="2"/>
    </row>
    <row r="229" spans="37:40" x14ac:dyDescent="0.2">
      <c r="AK229" s="2"/>
      <c r="AL229" s="2"/>
      <c r="AM229" s="2"/>
      <c r="AN229" s="2"/>
    </row>
    <row r="230" spans="37:40" x14ac:dyDescent="0.2">
      <c r="AK230" s="2"/>
      <c r="AL230" s="2"/>
      <c r="AM230" s="2"/>
      <c r="AN230" s="2"/>
    </row>
    <row r="231" spans="37:40" x14ac:dyDescent="0.2">
      <c r="AK231" s="2"/>
      <c r="AL231" s="2"/>
      <c r="AM231" s="2"/>
      <c r="AN231" s="2"/>
    </row>
    <row r="232" spans="37:40" x14ac:dyDescent="0.2">
      <c r="AK232" s="2"/>
      <c r="AL232" s="2"/>
      <c r="AM232" s="2"/>
      <c r="AN232" s="2"/>
    </row>
    <row r="233" spans="37:40" x14ac:dyDescent="0.2">
      <c r="AK233" s="2"/>
      <c r="AL233" s="2"/>
      <c r="AM233" s="2"/>
      <c r="AN233" s="2"/>
    </row>
    <row r="234" spans="37:40" x14ac:dyDescent="0.2">
      <c r="AK234" s="2"/>
      <c r="AL234" s="2"/>
      <c r="AM234" s="2"/>
      <c r="AN234" s="2"/>
    </row>
    <row r="235" spans="37:40" x14ac:dyDescent="0.2">
      <c r="AK235" s="2"/>
      <c r="AL235" s="2"/>
      <c r="AM235" s="2"/>
      <c r="AN235" s="2"/>
    </row>
    <row r="236" spans="37:40" x14ac:dyDescent="0.2">
      <c r="AK236" s="2"/>
      <c r="AL236" s="2"/>
      <c r="AM236" s="2"/>
      <c r="AN236" s="2"/>
    </row>
    <row r="237" spans="37:40" x14ac:dyDescent="0.2">
      <c r="AK237" s="2"/>
      <c r="AL237" s="2"/>
      <c r="AM237" s="2"/>
      <c r="AN237" s="2"/>
    </row>
    <row r="238" spans="37:40" x14ac:dyDescent="0.2">
      <c r="AK238" s="2"/>
      <c r="AL238" s="2"/>
      <c r="AM238" s="2"/>
      <c r="AN238" s="2"/>
    </row>
    <row r="239" spans="37:40" x14ac:dyDescent="0.2">
      <c r="AK239" s="2"/>
      <c r="AL239" s="2"/>
      <c r="AM239" s="2"/>
      <c r="AN239" s="2"/>
    </row>
    <row r="240" spans="37:40" x14ac:dyDescent="0.2">
      <c r="AK240" s="2"/>
      <c r="AL240" s="2"/>
      <c r="AM240" s="2"/>
      <c r="AN240" s="2"/>
    </row>
    <row r="241" spans="37:40" x14ac:dyDescent="0.2">
      <c r="AK241" s="2"/>
      <c r="AL241" s="2"/>
      <c r="AM241" s="2"/>
      <c r="AN241" s="2"/>
    </row>
    <row r="242" spans="37:40" x14ac:dyDescent="0.2">
      <c r="AK242" s="2"/>
      <c r="AL242" s="2"/>
      <c r="AM242" s="2"/>
      <c r="AN242" s="2"/>
    </row>
    <row r="243" spans="37:40" x14ac:dyDescent="0.2">
      <c r="AK243" s="2"/>
      <c r="AL243" s="2"/>
      <c r="AM243" s="2"/>
      <c r="AN243" s="2"/>
    </row>
    <row r="244" spans="37:40" x14ac:dyDescent="0.2">
      <c r="AK244" s="2"/>
      <c r="AL244" s="2"/>
      <c r="AM244" s="2"/>
      <c r="AN244" s="2"/>
    </row>
    <row r="245" spans="37:40" x14ac:dyDescent="0.2">
      <c r="AK245" s="2"/>
      <c r="AL245" s="2"/>
      <c r="AM245" s="2"/>
      <c r="AN245" s="2"/>
    </row>
    <row r="246" spans="37:40" x14ac:dyDescent="0.2">
      <c r="AK246" s="2"/>
      <c r="AL246" s="2"/>
      <c r="AM246" s="2"/>
      <c r="AN246" s="2"/>
    </row>
    <row r="247" spans="37:40" x14ac:dyDescent="0.2">
      <c r="AK247" s="2"/>
      <c r="AL247" s="2"/>
      <c r="AM247" s="2"/>
      <c r="AN247" s="2"/>
    </row>
    <row r="248" spans="37:40" x14ac:dyDescent="0.2">
      <c r="AK248" s="2"/>
      <c r="AL248" s="2"/>
      <c r="AM248" s="2"/>
      <c r="AN248" s="2"/>
    </row>
    <row r="249" spans="37:40" x14ac:dyDescent="0.2">
      <c r="AK249" s="2"/>
      <c r="AL249" s="2"/>
      <c r="AM249" s="2"/>
      <c r="AN249" s="2"/>
    </row>
    <row r="250" spans="37:40" x14ac:dyDescent="0.2">
      <c r="AK250" s="2"/>
      <c r="AL250" s="2"/>
      <c r="AM250" s="2"/>
      <c r="AN250" s="2"/>
    </row>
    <row r="251" spans="37:40" x14ac:dyDescent="0.2">
      <c r="AK251" s="2"/>
      <c r="AL251" s="2"/>
      <c r="AM251" s="2"/>
      <c r="AN251" s="2"/>
    </row>
    <row r="252" spans="37:40" x14ac:dyDescent="0.2">
      <c r="AK252" s="2"/>
      <c r="AL252" s="2"/>
      <c r="AM252" s="2"/>
      <c r="AN252" s="2"/>
    </row>
    <row r="253" spans="37:40" x14ac:dyDescent="0.2">
      <c r="AK253" s="2"/>
      <c r="AL253" s="2"/>
      <c r="AM253" s="2"/>
      <c r="AN253" s="2"/>
    </row>
    <row r="254" spans="37:40" x14ac:dyDescent="0.2">
      <c r="AK254" s="2"/>
      <c r="AL254" s="2"/>
      <c r="AM254" s="2"/>
      <c r="AN254" s="2"/>
    </row>
    <row r="255" spans="37:40" x14ac:dyDescent="0.2">
      <c r="AK255" s="2"/>
      <c r="AL255" s="2"/>
      <c r="AM255" s="2"/>
      <c r="AN255" s="2"/>
    </row>
    <row r="256" spans="37:40" x14ac:dyDescent="0.2">
      <c r="AK256" s="2"/>
      <c r="AL256" s="2"/>
      <c r="AM256" s="2"/>
      <c r="AN256" s="2"/>
    </row>
    <row r="257" spans="37:40" x14ac:dyDescent="0.2">
      <c r="AK257" s="2"/>
      <c r="AL257" s="2"/>
      <c r="AM257" s="2"/>
      <c r="AN257" s="2"/>
    </row>
    <row r="258" spans="37:40" x14ac:dyDescent="0.2">
      <c r="AK258" s="2"/>
      <c r="AL258" s="2"/>
      <c r="AM258" s="2"/>
      <c r="AN258" s="2"/>
    </row>
    <row r="259" spans="37:40" x14ac:dyDescent="0.2">
      <c r="AK259" s="2"/>
      <c r="AL259" s="2"/>
      <c r="AM259" s="2"/>
      <c r="AN259" s="2"/>
    </row>
    <row r="260" spans="37:40" x14ac:dyDescent="0.2">
      <c r="AK260" s="2"/>
      <c r="AL260" s="2"/>
      <c r="AM260" s="2"/>
      <c r="AN260" s="2"/>
    </row>
    <row r="261" spans="37:40" x14ac:dyDescent="0.2">
      <c r="AK261" s="2"/>
      <c r="AL261" s="2"/>
      <c r="AM261" s="2"/>
      <c r="AN261" s="2"/>
    </row>
    <row r="262" spans="37:40" x14ac:dyDescent="0.2">
      <c r="AK262" s="2"/>
      <c r="AL262" s="2"/>
      <c r="AM262" s="2"/>
      <c r="AN262" s="2"/>
    </row>
    <row r="263" spans="37:40" x14ac:dyDescent="0.2">
      <c r="AK263" s="2"/>
      <c r="AL263" s="2"/>
      <c r="AM263" s="2"/>
      <c r="AN263" s="2"/>
    </row>
    <row r="264" spans="37:40" x14ac:dyDescent="0.2">
      <c r="AK264" s="2"/>
      <c r="AL264" s="2"/>
      <c r="AM264" s="2"/>
      <c r="AN264" s="2"/>
    </row>
    <row r="265" spans="37:40" x14ac:dyDescent="0.2">
      <c r="AK265" s="2"/>
      <c r="AL265" s="2"/>
      <c r="AM265" s="2"/>
      <c r="AN265" s="2"/>
    </row>
    <row r="266" spans="37:40" x14ac:dyDescent="0.2">
      <c r="AK266" s="2"/>
      <c r="AL266" s="2"/>
      <c r="AM266" s="2"/>
      <c r="AN266" s="2"/>
    </row>
    <row r="267" spans="37:40" x14ac:dyDescent="0.2">
      <c r="AK267" s="2"/>
      <c r="AL267" s="2"/>
      <c r="AM267" s="2"/>
      <c r="AN267" s="2"/>
    </row>
    <row r="268" spans="37:40" x14ac:dyDescent="0.2">
      <c r="AK268" s="2"/>
      <c r="AL268" s="2"/>
      <c r="AM268" s="2"/>
      <c r="AN268" s="2"/>
    </row>
    <row r="269" spans="37:40" x14ac:dyDescent="0.2">
      <c r="AK269" s="2"/>
      <c r="AL269" s="2"/>
      <c r="AM269" s="2"/>
      <c r="AN269" s="2"/>
    </row>
    <row r="270" spans="37:40" x14ac:dyDescent="0.2">
      <c r="AK270" s="2"/>
      <c r="AL270" s="2"/>
      <c r="AM270" s="2"/>
      <c r="AN270" s="2"/>
    </row>
    <row r="271" spans="37:40" x14ac:dyDescent="0.2">
      <c r="AK271" s="2"/>
      <c r="AL271" s="2"/>
      <c r="AM271" s="2"/>
      <c r="AN271" s="2"/>
    </row>
    <row r="272" spans="37:40" x14ac:dyDescent="0.2">
      <c r="AK272" s="2"/>
      <c r="AL272" s="2"/>
      <c r="AM272" s="2"/>
      <c r="AN272" s="2"/>
    </row>
    <row r="273" spans="37:40" x14ac:dyDescent="0.2">
      <c r="AK273" s="2"/>
      <c r="AL273" s="2"/>
      <c r="AM273" s="2"/>
      <c r="AN273" s="2"/>
    </row>
    <row r="274" spans="37:40" x14ac:dyDescent="0.2">
      <c r="AK274" s="2"/>
      <c r="AL274" s="2"/>
      <c r="AM274" s="2"/>
      <c r="AN274" s="2"/>
    </row>
    <row r="275" spans="37:40" x14ac:dyDescent="0.2">
      <c r="AK275" s="2"/>
      <c r="AL275" s="2"/>
      <c r="AM275" s="2"/>
      <c r="AN275" s="2"/>
    </row>
    <row r="276" spans="37:40" x14ac:dyDescent="0.2">
      <c r="AK276" s="2"/>
      <c r="AL276" s="2"/>
      <c r="AM276" s="2"/>
      <c r="AN276" s="2"/>
    </row>
    <row r="277" spans="37:40" x14ac:dyDescent="0.2">
      <c r="AK277" s="2"/>
      <c r="AL277" s="2"/>
      <c r="AM277" s="2"/>
      <c r="AN277" s="2"/>
    </row>
    <row r="278" spans="37:40" x14ac:dyDescent="0.2">
      <c r="AK278" s="2"/>
      <c r="AL278" s="2"/>
      <c r="AM278" s="2"/>
      <c r="AN278" s="2"/>
    </row>
    <row r="279" spans="37:40" x14ac:dyDescent="0.2">
      <c r="AK279" s="2"/>
      <c r="AL279" s="2"/>
      <c r="AM279" s="2"/>
      <c r="AN279" s="2"/>
    </row>
    <row r="280" spans="37:40" x14ac:dyDescent="0.2">
      <c r="AK280" s="2"/>
      <c r="AL280" s="2"/>
      <c r="AM280" s="2"/>
      <c r="AN280" s="2"/>
    </row>
    <row r="281" spans="37:40" x14ac:dyDescent="0.2">
      <c r="AK281" s="2"/>
      <c r="AL281" s="2"/>
      <c r="AM281" s="2"/>
      <c r="AN281" s="2"/>
    </row>
    <row r="282" spans="37:40" x14ac:dyDescent="0.2">
      <c r="AK282" s="2"/>
      <c r="AL282" s="2"/>
      <c r="AM282" s="2"/>
      <c r="AN282" s="2"/>
    </row>
    <row r="283" spans="37:40" x14ac:dyDescent="0.2">
      <c r="AK283" s="2"/>
      <c r="AL283" s="2"/>
      <c r="AM283" s="2"/>
      <c r="AN283" s="2"/>
    </row>
    <row r="284" spans="37:40" x14ac:dyDescent="0.2">
      <c r="AK284" s="2"/>
      <c r="AL284" s="2"/>
      <c r="AM284" s="2"/>
      <c r="AN284" s="2"/>
    </row>
    <row r="285" spans="37:40" x14ac:dyDescent="0.2">
      <c r="AK285" s="2"/>
      <c r="AL285" s="2"/>
      <c r="AM285" s="2"/>
      <c r="AN285" s="2"/>
    </row>
    <row r="286" spans="37:40" x14ac:dyDescent="0.2">
      <c r="AK286" s="2"/>
      <c r="AL286" s="2"/>
      <c r="AM286" s="2"/>
      <c r="AN286" s="2"/>
    </row>
    <row r="287" spans="37:40" x14ac:dyDescent="0.2">
      <c r="AK287" s="2"/>
      <c r="AL287" s="2"/>
      <c r="AM287" s="2"/>
      <c r="AN287" s="2"/>
    </row>
    <row r="288" spans="37:40" x14ac:dyDescent="0.2">
      <c r="AK288" s="2"/>
      <c r="AL288" s="2"/>
      <c r="AM288" s="2"/>
      <c r="AN288" s="2"/>
    </row>
    <row r="289" spans="37:40" x14ac:dyDescent="0.2">
      <c r="AK289" s="2"/>
      <c r="AL289" s="2"/>
      <c r="AM289" s="2"/>
      <c r="AN289" s="2"/>
    </row>
    <row r="290" spans="37:40" x14ac:dyDescent="0.2">
      <c r="AK290" s="2"/>
      <c r="AL290" s="2"/>
      <c r="AM290" s="2"/>
      <c r="AN290" s="2"/>
    </row>
    <row r="291" spans="37:40" x14ac:dyDescent="0.2">
      <c r="AK291" s="2"/>
      <c r="AL291" s="2"/>
      <c r="AM291" s="2"/>
      <c r="AN291" s="2"/>
    </row>
    <row r="292" spans="37:40" x14ac:dyDescent="0.2">
      <c r="AK292" s="2"/>
      <c r="AL292" s="2"/>
      <c r="AM292" s="2"/>
      <c r="AN292" s="2"/>
    </row>
    <row r="293" spans="37:40" x14ac:dyDescent="0.2">
      <c r="AK293" s="2"/>
      <c r="AL293" s="2"/>
      <c r="AM293" s="2"/>
      <c r="AN293" s="2"/>
    </row>
    <row r="294" spans="37:40" x14ac:dyDescent="0.2">
      <c r="AK294" s="2"/>
      <c r="AL294" s="2"/>
      <c r="AM294" s="2"/>
      <c r="AN294" s="2"/>
    </row>
    <row r="295" spans="37:40" x14ac:dyDescent="0.2">
      <c r="AK295" s="2"/>
      <c r="AL295" s="2"/>
      <c r="AM295" s="2"/>
      <c r="AN295" s="2"/>
    </row>
    <row r="296" spans="37:40" x14ac:dyDescent="0.2">
      <c r="AK296" s="2"/>
      <c r="AL296" s="2"/>
      <c r="AM296" s="2"/>
      <c r="AN296" s="2"/>
    </row>
    <row r="297" spans="37:40" x14ac:dyDescent="0.2">
      <c r="AK297" s="2"/>
      <c r="AL297" s="2"/>
      <c r="AM297" s="2"/>
      <c r="AN297" s="2"/>
    </row>
    <row r="298" spans="37:40" x14ac:dyDescent="0.2">
      <c r="AK298" s="2"/>
      <c r="AL298" s="2"/>
      <c r="AM298" s="2"/>
      <c r="AN298" s="2"/>
    </row>
    <row r="299" spans="37:40" x14ac:dyDescent="0.2">
      <c r="AK299" s="2"/>
      <c r="AL299" s="2"/>
      <c r="AM299" s="2"/>
      <c r="AN299" s="2"/>
    </row>
    <row r="300" spans="37:40" x14ac:dyDescent="0.2">
      <c r="AK300" s="2"/>
      <c r="AL300" s="2"/>
      <c r="AM300" s="2"/>
      <c r="AN300" s="2"/>
    </row>
    <row r="301" spans="37:40" x14ac:dyDescent="0.2">
      <c r="AK301" s="2"/>
      <c r="AL301" s="2"/>
      <c r="AM301" s="2"/>
      <c r="AN301" s="2"/>
    </row>
    <row r="302" spans="37:40" x14ac:dyDescent="0.2">
      <c r="AK302" s="2"/>
      <c r="AL302" s="2"/>
      <c r="AM302" s="2"/>
      <c r="AN302" s="2"/>
    </row>
    <row r="303" spans="37:40" x14ac:dyDescent="0.2">
      <c r="AK303" s="2"/>
      <c r="AL303" s="2"/>
      <c r="AM303" s="2"/>
      <c r="AN303" s="2"/>
    </row>
    <row r="304" spans="37:40" x14ac:dyDescent="0.2">
      <c r="AK304" s="2"/>
      <c r="AL304" s="2"/>
      <c r="AM304" s="2"/>
      <c r="AN304" s="2"/>
    </row>
    <row r="305" spans="37:40" x14ac:dyDescent="0.2">
      <c r="AK305" s="2"/>
      <c r="AL305" s="2"/>
      <c r="AM305" s="2"/>
      <c r="AN305" s="2"/>
    </row>
    <row r="306" spans="37:40" x14ac:dyDescent="0.2">
      <c r="AK306" s="2"/>
      <c r="AL306" s="2"/>
      <c r="AM306" s="2"/>
      <c r="AN306" s="2"/>
    </row>
    <row r="307" spans="37:40" x14ac:dyDescent="0.2">
      <c r="AK307" s="2"/>
      <c r="AL307" s="2"/>
      <c r="AM307" s="2"/>
      <c r="AN307" s="2"/>
    </row>
    <row r="308" spans="37:40" x14ac:dyDescent="0.2">
      <c r="AK308" s="2"/>
      <c r="AL308" s="2"/>
      <c r="AM308" s="2"/>
      <c r="AN308" s="2"/>
    </row>
    <row r="309" spans="37:40" x14ac:dyDescent="0.2">
      <c r="AK309" s="2"/>
      <c r="AL309" s="2"/>
      <c r="AM309" s="2"/>
      <c r="AN309" s="2"/>
    </row>
    <row r="310" spans="37:40" x14ac:dyDescent="0.2">
      <c r="AK310" s="2"/>
      <c r="AL310" s="2"/>
      <c r="AM310" s="2"/>
      <c r="AN310" s="2"/>
    </row>
    <row r="311" spans="37:40" x14ac:dyDescent="0.2">
      <c r="AK311" s="2"/>
      <c r="AL311" s="2"/>
      <c r="AM311" s="2"/>
      <c r="AN311" s="2"/>
    </row>
    <row r="312" spans="37:40" x14ac:dyDescent="0.2">
      <c r="AK312" s="2"/>
      <c r="AL312" s="2"/>
      <c r="AM312" s="2"/>
      <c r="AN312" s="2"/>
    </row>
    <row r="313" spans="37:40" x14ac:dyDescent="0.2">
      <c r="AK313" s="2"/>
      <c r="AL313" s="2"/>
      <c r="AM313" s="2"/>
      <c r="AN313" s="2"/>
    </row>
    <row r="314" spans="37:40" x14ac:dyDescent="0.2">
      <c r="AK314" s="2"/>
      <c r="AL314" s="2"/>
      <c r="AM314" s="2"/>
      <c r="AN314" s="2"/>
    </row>
    <row r="315" spans="37:40" x14ac:dyDescent="0.2">
      <c r="AK315" s="2"/>
      <c r="AL315" s="2"/>
      <c r="AM315" s="2"/>
      <c r="AN315" s="2"/>
    </row>
    <row r="316" spans="37:40" x14ac:dyDescent="0.2">
      <c r="AK316" s="2"/>
      <c r="AL316" s="2"/>
      <c r="AM316" s="2"/>
      <c r="AN316" s="2"/>
    </row>
    <row r="317" spans="37:40" x14ac:dyDescent="0.2">
      <c r="AK317" s="2"/>
      <c r="AL317" s="2"/>
      <c r="AM317" s="2"/>
      <c r="AN317" s="2"/>
    </row>
    <row r="318" spans="37:40" x14ac:dyDescent="0.2">
      <c r="AK318" s="2"/>
      <c r="AL318" s="2"/>
      <c r="AM318" s="2"/>
      <c r="AN318" s="2"/>
    </row>
    <row r="319" spans="37:40" x14ac:dyDescent="0.2">
      <c r="AK319" s="2"/>
      <c r="AL319" s="2"/>
      <c r="AM319" s="2"/>
      <c r="AN319" s="2"/>
    </row>
    <row r="320" spans="37:40" x14ac:dyDescent="0.2">
      <c r="AK320" s="2"/>
      <c r="AL320" s="2"/>
      <c r="AM320" s="2"/>
      <c r="AN320" s="2"/>
    </row>
    <row r="321" spans="37:40" x14ac:dyDescent="0.2">
      <c r="AK321" s="2"/>
      <c r="AL321" s="2"/>
      <c r="AM321" s="2"/>
      <c r="AN321" s="2"/>
    </row>
    <row r="322" spans="37:40" x14ac:dyDescent="0.2">
      <c r="AK322" s="2"/>
      <c r="AL322" s="2"/>
      <c r="AM322" s="2"/>
      <c r="AN322" s="2"/>
    </row>
    <row r="323" spans="37:40" x14ac:dyDescent="0.2">
      <c r="AK323" s="2"/>
      <c r="AL323" s="2"/>
      <c r="AM323" s="2"/>
      <c r="AN323" s="2"/>
    </row>
    <row r="324" spans="37:40" x14ac:dyDescent="0.2">
      <c r="AK324" s="2"/>
      <c r="AL324" s="2"/>
      <c r="AM324" s="2"/>
      <c r="AN324" s="2"/>
    </row>
    <row r="325" spans="37:40" x14ac:dyDescent="0.2">
      <c r="AK325" s="2"/>
      <c r="AL325" s="2"/>
      <c r="AM325" s="2"/>
      <c r="AN325" s="2"/>
    </row>
    <row r="326" spans="37:40" x14ac:dyDescent="0.2">
      <c r="AK326" s="2"/>
      <c r="AL326" s="2"/>
      <c r="AM326" s="2"/>
      <c r="AN326" s="2"/>
    </row>
    <row r="327" spans="37:40" x14ac:dyDescent="0.2">
      <c r="AK327" s="2"/>
      <c r="AL327" s="2"/>
      <c r="AM327" s="2"/>
      <c r="AN327" s="2"/>
    </row>
    <row r="328" spans="37:40" x14ac:dyDescent="0.2">
      <c r="AK328" s="2"/>
      <c r="AL328" s="2"/>
      <c r="AM328" s="2"/>
      <c r="AN328" s="2"/>
    </row>
    <row r="329" spans="37:40" x14ac:dyDescent="0.2">
      <c r="AK329" s="2"/>
      <c r="AL329" s="2"/>
      <c r="AM329" s="2"/>
      <c r="AN329" s="2"/>
    </row>
    <row r="330" spans="37:40" x14ac:dyDescent="0.2">
      <c r="AK330" s="2"/>
      <c r="AL330" s="2"/>
      <c r="AM330" s="2"/>
      <c r="AN330" s="2"/>
    </row>
    <row r="331" spans="37:40" x14ac:dyDescent="0.2">
      <c r="AK331" s="2"/>
      <c r="AL331" s="2"/>
      <c r="AM331" s="2"/>
      <c r="AN331" s="2"/>
    </row>
    <row r="332" spans="37:40" x14ac:dyDescent="0.2">
      <c r="AK332" s="2"/>
      <c r="AL332" s="2"/>
      <c r="AM332" s="2"/>
      <c r="AN332" s="2"/>
    </row>
    <row r="333" spans="37:40" x14ac:dyDescent="0.2">
      <c r="AK333" s="2"/>
      <c r="AL333" s="2"/>
      <c r="AM333" s="2"/>
      <c r="AN333" s="2"/>
    </row>
    <row r="334" spans="37:40" x14ac:dyDescent="0.2">
      <c r="AK334" s="2"/>
      <c r="AL334" s="2"/>
      <c r="AM334" s="2"/>
      <c r="AN334" s="2"/>
    </row>
    <row r="335" spans="37:40" x14ac:dyDescent="0.2">
      <c r="AK335" s="2"/>
      <c r="AL335" s="2"/>
      <c r="AM335" s="2"/>
      <c r="AN335" s="2"/>
    </row>
    <row r="336" spans="37:40" x14ac:dyDescent="0.2">
      <c r="AK336" s="2"/>
      <c r="AL336" s="2"/>
      <c r="AM336" s="2"/>
      <c r="AN336" s="2"/>
    </row>
    <row r="337" spans="37:40" x14ac:dyDescent="0.2">
      <c r="AK337" s="2"/>
      <c r="AL337" s="2"/>
      <c r="AM337" s="2"/>
      <c r="AN337" s="2"/>
    </row>
    <row r="338" spans="37:40" x14ac:dyDescent="0.2">
      <c r="AK338" s="2"/>
      <c r="AL338" s="2"/>
      <c r="AM338" s="2"/>
      <c r="AN338" s="2"/>
    </row>
    <row r="339" spans="37:40" x14ac:dyDescent="0.2">
      <c r="AK339" s="2"/>
      <c r="AL339" s="2"/>
      <c r="AM339" s="2"/>
      <c r="AN339" s="2"/>
    </row>
    <row r="340" spans="37:40" x14ac:dyDescent="0.2">
      <c r="AK340" s="2"/>
      <c r="AL340" s="2"/>
      <c r="AM340" s="2"/>
      <c r="AN340" s="2"/>
    </row>
    <row r="341" spans="37:40" x14ac:dyDescent="0.2">
      <c r="AK341" s="2"/>
      <c r="AL341" s="2"/>
      <c r="AM341" s="2"/>
      <c r="AN341" s="2"/>
    </row>
    <row r="342" spans="37:40" x14ac:dyDescent="0.2">
      <c r="AK342" s="2"/>
      <c r="AL342" s="2"/>
      <c r="AM342" s="2"/>
      <c r="AN342" s="2"/>
    </row>
    <row r="343" spans="37:40" x14ac:dyDescent="0.2">
      <c r="AK343" s="2"/>
      <c r="AL343" s="2"/>
      <c r="AM343" s="2"/>
      <c r="AN343" s="2"/>
    </row>
    <row r="344" spans="37:40" x14ac:dyDescent="0.2">
      <c r="AK344" s="2"/>
      <c r="AL344" s="2"/>
      <c r="AM344" s="2"/>
      <c r="AN344" s="2"/>
    </row>
    <row r="345" spans="37:40" x14ac:dyDescent="0.2">
      <c r="AK345" s="2"/>
      <c r="AL345" s="2"/>
      <c r="AM345" s="2"/>
      <c r="AN345" s="2"/>
    </row>
    <row r="346" spans="37:40" x14ac:dyDescent="0.2">
      <c r="AK346" s="2"/>
      <c r="AL346" s="2"/>
      <c r="AM346" s="2"/>
      <c r="AN346" s="2"/>
    </row>
    <row r="347" spans="37:40" x14ac:dyDescent="0.2">
      <c r="AK347" s="2"/>
      <c r="AL347" s="2"/>
      <c r="AM347" s="2"/>
      <c r="AN347" s="2"/>
    </row>
    <row r="348" spans="37:40" x14ac:dyDescent="0.2">
      <c r="AK348" s="2"/>
      <c r="AL348" s="2"/>
      <c r="AM348" s="2"/>
      <c r="AN348" s="2"/>
    </row>
    <row r="349" spans="37:40" x14ac:dyDescent="0.2">
      <c r="AK349" s="2"/>
      <c r="AL349" s="2"/>
      <c r="AM349" s="2"/>
      <c r="AN349" s="2"/>
    </row>
    <row r="350" spans="37:40" x14ac:dyDescent="0.2">
      <c r="AK350" s="2"/>
      <c r="AL350" s="2"/>
      <c r="AM350" s="2"/>
      <c r="AN350" s="2"/>
    </row>
    <row r="351" spans="37:40" x14ac:dyDescent="0.2">
      <c r="AK351" s="2"/>
      <c r="AL351" s="2"/>
      <c r="AM351" s="2"/>
      <c r="AN351" s="2"/>
    </row>
    <row r="352" spans="37:40" x14ac:dyDescent="0.2">
      <c r="AK352" s="2"/>
      <c r="AL352" s="2"/>
      <c r="AM352" s="2"/>
      <c r="AN352" s="2"/>
    </row>
    <row r="353" spans="37:40" x14ac:dyDescent="0.2">
      <c r="AK353" s="2"/>
      <c r="AL353" s="2"/>
      <c r="AM353" s="2"/>
      <c r="AN353" s="2"/>
    </row>
    <row r="354" spans="37:40" x14ac:dyDescent="0.2">
      <c r="AK354" s="2"/>
      <c r="AL354" s="2"/>
      <c r="AM354" s="2"/>
      <c r="AN354" s="2"/>
    </row>
    <row r="355" spans="37:40" x14ac:dyDescent="0.2">
      <c r="AK355" s="2"/>
      <c r="AL355" s="2"/>
      <c r="AM355" s="2"/>
      <c r="AN355" s="2"/>
    </row>
    <row r="356" spans="37:40" x14ac:dyDescent="0.2">
      <c r="AK356" s="2"/>
      <c r="AL356" s="2"/>
      <c r="AM356" s="2"/>
      <c r="AN356" s="2"/>
    </row>
    <row r="357" spans="37:40" x14ac:dyDescent="0.2">
      <c r="AK357" s="2"/>
      <c r="AL357" s="2"/>
      <c r="AM357" s="2"/>
      <c r="AN357" s="2"/>
    </row>
    <row r="358" spans="37:40" x14ac:dyDescent="0.2">
      <c r="AK358" s="2"/>
      <c r="AL358" s="2"/>
      <c r="AM358" s="2"/>
      <c r="AN358" s="2"/>
    </row>
    <row r="359" spans="37:40" x14ac:dyDescent="0.2">
      <c r="AK359" s="2"/>
      <c r="AL359" s="2"/>
      <c r="AM359" s="2"/>
      <c r="AN359" s="2"/>
    </row>
    <row r="360" spans="37:40" x14ac:dyDescent="0.2">
      <c r="AK360" s="2"/>
      <c r="AL360" s="2"/>
      <c r="AM360" s="2"/>
      <c r="AN360" s="2"/>
    </row>
    <row r="361" spans="37:40" x14ac:dyDescent="0.2">
      <c r="AK361" s="2"/>
      <c r="AL361" s="2"/>
      <c r="AM361" s="2"/>
      <c r="AN361" s="2"/>
    </row>
    <row r="362" spans="37:40" x14ac:dyDescent="0.2">
      <c r="AK362" s="2"/>
      <c r="AL362" s="2"/>
      <c r="AM362" s="2"/>
      <c r="AN362" s="2"/>
    </row>
    <row r="363" spans="37:40" x14ac:dyDescent="0.2">
      <c r="AK363" s="2"/>
      <c r="AL363" s="2"/>
      <c r="AM363" s="2"/>
      <c r="AN363" s="2"/>
    </row>
    <row r="364" spans="37:40" x14ac:dyDescent="0.2">
      <c r="AK364" s="2"/>
      <c r="AL364" s="2"/>
      <c r="AM364" s="2"/>
      <c r="AN364" s="2"/>
    </row>
    <row r="365" spans="37:40" x14ac:dyDescent="0.2">
      <c r="AK365" s="2"/>
      <c r="AL365" s="2"/>
      <c r="AM365" s="2"/>
      <c r="AN365" s="2"/>
    </row>
    <row r="366" spans="37:40" x14ac:dyDescent="0.2">
      <c r="AK366" s="2"/>
      <c r="AL366" s="2"/>
      <c r="AM366" s="2"/>
      <c r="AN366" s="2"/>
    </row>
    <row r="367" spans="37:40" x14ac:dyDescent="0.2">
      <c r="AK367" s="2"/>
      <c r="AL367" s="2"/>
      <c r="AM367" s="2"/>
      <c r="AN367" s="2"/>
    </row>
    <row r="368" spans="37:40" x14ac:dyDescent="0.2">
      <c r="AK368" s="2"/>
      <c r="AL368" s="2"/>
      <c r="AM368" s="2"/>
      <c r="AN368" s="2"/>
    </row>
    <row r="369" spans="37:40" x14ac:dyDescent="0.2">
      <c r="AK369" s="2"/>
      <c r="AL369" s="2"/>
      <c r="AM369" s="2"/>
      <c r="AN369" s="2"/>
    </row>
    <row r="370" spans="37:40" x14ac:dyDescent="0.2">
      <c r="AK370" s="2"/>
      <c r="AL370" s="2"/>
      <c r="AM370" s="2"/>
      <c r="AN370" s="2"/>
    </row>
    <row r="371" spans="37:40" x14ac:dyDescent="0.2">
      <c r="AK371" s="2"/>
      <c r="AL371" s="2"/>
      <c r="AM371" s="2"/>
      <c r="AN371" s="2"/>
    </row>
    <row r="372" spans="37:40" x14ac:dyDescent="0.2">
      <c r="AK372" s="2"/>
      <c r="AL372" s="2"/>
      <c r="AM372" s="2"/>
      <c r="AN372" s="2"/>
    </row>
    <row r="373" spans="37:40" x14ac:dyDescent="0.2">
      <c r="AK373" s="2"/>
      <c r="AL373" s="2"/>
      <c r="AM373" s="2"/>
      <c r="AN373" s="2"/>
    </row>
    <row r="374" spans="37:40" x14ac:dyDescent="0.2">
      <c r="AK374" s="2"/>
      <c r="AL374" s="2"/>
      <c r="AM374" s="2"/>
      <c r="AN374" s="2"/>
    </row>
    <row r="375" spans="37:40" x14ac:dyDescent="0.2">
      <c r="AK375" s="2"/>
      <c r="AL375" s="2"/>
      <c r="AM375" s="2"/>
      <c r="AN375" s="2"/>
    </row>
    <row r="376" spans="37:40" x14ac:dyDescent="0.2">
      <c r="AK376" s="2"/>
      <c r="AL376" s="2"/>
      <c r="AM376" s="2"/>
      <c r="AN376" s="2"/>
    </row>
    <row r="377" spans="37:40" x14ac:dyDescent="0.2">
      <c r="AK377" s="2"/>
      <c r="AL377" s="2"/>
      <c r="AM377" s="2"/>
      <c r="AN377" s="2"/>
    </row>
    <row r="378" spans="37:40" x14ac:dyDescent="0.2">
      <c r="AK378" s="2"/>
      <c r="AL378" s="2"/>
      <c r="AM378" s="2"/>
      <c r="AN378" s="2"/>
    </row>
    <row r="379" spans="37:40" x14ac:dyDescent="0.2">
      <c r="AK379" s="2"/>
      <c r="AL379" s="2"/>
      <c r="AM379" s="2"/>
      <c r="AN379" s="2"/>
    </row>
    <row r="380" spans="37:40" x14ac:dyDescent="0.2">
      <c r="AK380" s="2"/>
      <c r="AL380" s="2"/>
      <c r="AM380" s="2"/>
      <c r="AN380" s="2"/>
    </row>
    <row r="381" spans="37:40" x14ac:dyDescent="0.2">
      <c r="AK381" s="2"/>
      <c r="AL381" s="2"/>
      <c r="AM381" s="2"/>
      <c r="AN381" s="2"/>
    </row>
    <row r="382" spans="37:40" x14ac:dyDescent="0.2">
      <c r="AK382" s="2"/>
      <c r="AL382" s="2"/>
      <c r="AM382" s="2"/>
      <c r="AN382" s="2"/>
    </row>
    <row r="383" spans="37:40" x14ac:dyDescent="0.2">
      <c r="AK383" s="2"/>
      <c r="AL383" s="2"/>
      <c r="AM383" s="2"/>
      <c r="AN383" s="2"/>
    </row>
    <row r="384" spans="37:40" x14ac:dyDescent="0.2">
      <c r="AK384" s="2"/>
      <c r="AL384" s="2"/>
      <c r="AM384" s="2"/>
      <c r="AN384" s="2"/>
    </row>
    <row r="385" spans="37:40" x14ac:dyDescent="0.2">
      <c r="AK385" s="2"/>
      <c r="AL385" s="2"/>
      <c r="AM385" s="2"/>
      <c r="AN385" s="2"/>
    </row>
    <row r="386" spans="37:40" x14ac:dyDescent="0.2">
      <c r="AK386" s="2"/>
      <c r="AL386" s="2"/>
      <c r="AM386" s="2"/>
      <c r="AN386" s="2"/>
    </row>
    <row r="387" spans="37:40" x14ac:dyDescent="0.2">
      <c r="AK387" s="2"/>
      <c r="AL387" s="2"/>
      <c r="AM387" s="2"/>
      <c r="AN387" s="2"/>
    </row>
    <row r="388" spans="37:40" x14ac:dyDescent="0.2">
      <c r="AK388" s="2"/>
      <c r="AL388" s="2"/>
      <c r="AM388" s="2"/>
      <c r="AN388" s="2"/>
    </row>
    <row r="389" spans="37:40" x14ac:dyDescent="0.2">
      <c r="AK389" s="2"/>
      <c r="AL389" s="2"/>
      <c r="AM389" s="2"/>
      <c r="AN389" s="2"/>
    </row>
    <row r="390" spans="37:40" x14ac:dyDescent="0.2">
      <c r="AK390" s="2"/>
      <c r="AL390" s="2"/>
      <c r="AM390" s="2"/>
      <c r="AN390" s="2"/>
    </row>
    <row r="391" spans="37:40" x14ac:dyDescent="0.2">
      <c r="AK391" s="2"/>
      <c r="AL391" s="2"/>
      <c r="AM391" s="2"/>
      <c r="AN391" s="2"/>
    </row>
    <row r="392" spans="37:40" x14ac:dyDescent="0.2">
      <c r="AK392" s="2"/>
      <c r="AL392" s="2"/>
      <c r="AM392" s="2"/>
      <c r="AN392" s="2"/>
    </row>
    <row r="393" spans="37:40" x14ac:dyDescent="0.2">
      <c r="AK393" s="2"/>
      <c r="AL393" s="2"/>
      <c r="AM393" s="2"/>
      <c r="AN393" s="2"/>
    </row>
    <row r="394" spans="37:40" x14ac:dyDescent="0.2">
      <c r="AK394" s="2"/>
      <c r="AL394" s="2"/>
      <c r="AM394" s="2"/>
      <c r="AN394" s="2"/>
    </row>
    <row r="395" spans="37:40" x14ac:dyDescent="0.2">
      <c r="AK395" s="2"/>
      <c r="AL395" s="2"/>
      <c r="AM395" s="2"/>
      <c r="AN395" s="2"/>
    </row>
    <row r="396" spans="37:40" x14ac:dyDescent="0.2">
      <c r="AK396" s="2"/>
      <c r="AL396" s="2"/>
      <c r="AM396" s="2"/>
      <c r="AN396" s="2"/>
    </row>
    <row r="397" spans="37:40" x14ac:dyDescent="0.2">
      <c r="AK397" s="2"/>
      <c r="AL397" s="2"/>
      <c r="AM397" s="2"/>
      <c r="AN397" s="2"/>
    </row>
    <row r="398" spans="37:40" x14ac:dyDescent="0.2">
      <c r="AK398" s="2"/>
      <c r="AL398" s="2"/>
      <c r="AM398" s="2"/>
      <c r="AN398" s="2"/>
    </row>
    <row r="399" spans="37:40" x14ac:dyDescent="0.2">
      <c r="AK399" s="2"/>
      <c r="AL399" s="2"/>
      <c r="AM399" s="2"/>
      <c r="AN399" s="2"/>
    </row>
    <row r="400" spans="37:40" x14ac:dyDescent="0.2">
      <c r="AK400" s="2"/>
      <c r="AL400" s="2"/>
      <c r="AM400" s="2"/>
      <c r="AN400" s="2"/>
    </row>
    <row r="401" spans="37:40" x14ac:dyDescent="0.2">
      <c r="AK401" s="2"/>
      <c r="AL401" s="2"/>
      <c r="AM401" s="2"/>
      <c r="AN401" s="2"/>
    </row>
    <row r="402" spans="37:40" x14ac:dyDescent="0.2">
      <c r="AK402" s="2"/>
      <c r="AL402" s="2"/>
      <c r="AM402" s="2"/>
      <c r="AN402" s="2"/>
    </row>
    <row r="403" spans="37:40" x14ac:dyDescent="0.2">
      <c r="AK403" s="2"/>
      <c r="AL403" s="2"/>
      <c r="AM403" s="2"/>
      <c r="AN403" s="2"/>
    </row>
    <row r="404" spans="37:40" x14ac:dyDescent="0.2">
      <c r="AK404" s="2"/>
      <c r="AL404" s="2"/>
      <c r="AM404" s="2"/>
      <c r="AN404" s="2"/>
    </row>
    <row r="405" spans="37:40" x14ac:dyDescent="0.2">
      <c r="AK405" s="2"/>
      <c r="AL405" s="2"/>
      <c r="AM405" s="2"/>
      <c r="AN405" s="2"/>
    </row>
    <row r="406" spans="37:40" x14ac:dyDescent="0.2">
      <c r="AK406" s="2"/>
      <c r="AL406" s="2"/>
      <c r="AM406" s="2"/>
      <c r="AN406" s="2"/>
    </row>
    <row r="407" spans="37:40" x14ac:dyDescent="0.2">
      <c r="AK407" s="2"/>
      <c r="AL407" s="2"/>
      <c r="AM407" s="2"/>
      <c r="AN407" s="2"/>
    </row>
    <row r="408" spans="37:40" x14ac:dyDescent="0.2">
      <c r="AK408" s="2"/>
      <c r="AL408" s="2"/>
      <c r="AM408" s="2"/>
      <c r="AN408" s="2"/>
    </row>
    <row r="409" spans="37:40" x14ac:dyDescent="0.2">
      <c r="AK409" s="2"/>
      <c r="AL409" s="2"/>
      <c r="AM409" s="2"/>
      <c r="AN409" s="2"/>
    </row>
    <row r="410" spans="37:40" x14ac:dyDescent="0.2">
      <c r="AK410" s="2"/>
      <c r="AL410" s="2"/>
      <c r="AM410" s="2"/>
      <c r="AN410" s="2"/>
    </row>
    <row r="411" spans="37:40" x14ac:dyDescent="0.2">
      <c r="AK411" s="2"/>
      <c r="AL411" s="2"/>
      <c r="AM411" s="2"/>
      <c r="AN411" s="2"/>
    </row>
    <row r="412" spans="37:40" x14ac:dyDescent="0.2">
      <c r="AK412" s="2"/>
      <c r="AL412" s="2"/>
      <c r="AM412" s="2"/>
      <c r="AN412" s="2"/>
    </row>
    <row r="413" spans="37:40" x14ac:dyDescent="0.2">
      <c r="AK413" s="2"/>
      <c r="AL413" s="2"/>
      <c r="AM413" s="2"/>
      <c r="AN413" s="2"/>
    </row>
    <row r="414" spans="37:40" x14ac:dyDescent="0.2">
      <c r="AK414" s="2"/>
      <c r="AL414" s="2"/>
      <c r="AM414" s="2"/>
      <c r="AN414" s="2"/>
    </row>
    <row r="415" spans="37:40" x14ac:dyDescent="0.2">
      <c r="AK415" s="2"/>
      <c r="AL415" s="2"/>
      <c r="AM415" s="2"/>
      <c r="AN415" s="2"/>
    </row>
    <row r="416" spans="37:40" x14ac:dyDescent="0.2">
      <c r="AK416" s="2"/>
      <c r="AL416" s="2"/>
      <c r="AM416" s="2"/>
      <c r="AN416" s="2"/>
    </row>
    <row r="417" spans="37:40" x14ac:dyDescent="0.2">
      <c r="AK417" s="2"/>
      <c r="AL417" s="2"/>
      <c r="AM417" s="2"/>
      <c r="AN417" s="2"/>
    </row>
    <row r="418" spans="37:40" x14ac:dyDescent="0.2">
      <c r="AK418" s="2"/>
      <c r="AL418" s="2"/>
      <c r="AM418" s="2"/>
      <c r="AN418" s="2"/>
    </row>
    <row r="419" spans="37:40" x14ac:dyDescent="0.2">
      <c r="AK419" s="2"/>
      <c r="AL419" s="2"/>
      <c r="AM419" s="2"/>
      <c r="AN419" s="2"/>
    </row>
    <row r="420" spans="37:40" x14ac:dyDescent="0.2">
      <c r="AK420" s="2"/>
      <c r="AL420" s="2"/>
      <c r="AM420" s="2"/>
      <c r="AN420" s="2"/>
    </row>
    <row r="421" spans="37:40" x14ac:dyDescent="0.2">
      <c r="AK421" s="2"/>
      <c r="AL421" s="2"/>
      <c r="AM421" s="2"/>
      <c r="AN421" s="2"/>
    </row>
    <row r="422" spans="37:40" x14ac:dyDescent="0.2">
      <c r="AK422" s="2"/>
      <c r="AL422" s="2"/>
      <c r="AM422" s="2"/>
      <c r="AN422" s="2"/>
    </row>
    <row r="423" spans="37:40" x14ac:dyDescent="0.2">
      <c r="AK423" s="2"/>
      <c r="AL423" s="2"/>
      <c r="AM423" s="2"/>
      <c r="AN423" s="2"/>
    </row>
    <row r="424" spans="37:40" x14ac:dyDescent="0.2">
      <c r="AK424" s="2"/>
      <c r="AL424" s="2"/>
      <c r="AM424" s="2"/>
      <c r="AN424" s="2"/>
    </row>
    <row r="425" spans="37:40" x14ac:dyDescent="0.2">
      <c r="AK425" s="2"/>
      <c r="AL425" s="2"/>
      <c r="AM425" s="2"/>
      <c r="AN425" s="2"/>
    </row>
    <row r="426" spans="37:40" x14ac:dyDescent="0.2">
      <c r="AK426" s="2"/>
      <c r="AL426" s="2"/>
      <c r="AM426" s="2"/>
      <c r="AN426" s="2"/>
    </row>
    <row r="427" spans="37:40" x14ac:dyDescent="0.2">
      <c r="AK427" s="2"/>
      <c r="AL427" s="2"/>
      <c r="AM427" s="2"/>
      <c r="AN427" s="2"/>
    </row>
  </sheetData>
  <mergeCells count="50">
    <mergeCell ref="A26:A27"/>
    <mergeCell ref="D2:E2"/>
    <mergeCell ref="F2:G2"/>
    <mergeCell ref="H2:I2"/>
    <mergeCell ref="J2:K2"/>
    <mergeCell ref="A16:A17"/>
    <mergeCell ref="A4:A5"/>
    <mergeCell ref="A6:A7"/>
    <mergeCell ref="A8:A9"/>
    <mergeCell ref="A10:A11"/>
    <mergeCell ref="A12:A13"/>
    <mergeCell ref="A14:A15"/>
    <mergeCell ref="B2:C2"/>
    <mergeCell ref="B1:Y1"/>
    <mergeCell ref="A18:A19"/>
    <mergeCell ref="A20:A21"/>
    <mergeCell ref="A22:A23"/>
    <mergeCell ref="A24:A25"/>
    <mergeCell ref="X2:Y2"/>
    <mergeCell ref="L2:M2"/>
    <mergeCell ref="N2:O2"/>
    <mergeCell ref="P2:Q2"/>
    <mergeCell ref="R2:S2"/>
    <mergeCell ref="T2:U2"/>
    <mergeCell ref="V2:W2"/>
    <mergeCell ref="N29:O29"/>
    <mergeCell ref="P29:Q29"/>
    <mergeCell ref="R29:S29"/>
    <mergeCell ref="T29:U29"/>
    <mergeCell ref="B29:C29"/>
    <mergeCell ref="D29:E29"/>
    <mergeCell ref="F29:G29"/>
    <mergeCell ref="H29:I29"/>
    <mergeCell ref="J29:K29"/>
    <mergeCell ref="B30:Y30"/>
    <mergeCell ref="V29:W29"/>
    <mergeCell ref="X29:Y29"/>
    <mergeCell ref="Z4:Z5"/>
    <mergeCell ref="Z6:Z7"/>
    <mergeCell ref="Z8:Z9"/>
    <mergeCell ref="Z10:Z11"/>
    <mergeCell ref="Z12:Z13"/>
    <mergeCell ref="Z14:Z15"/>
    <mergeCell ref="Z16:Z17"/>
    <mergeCell ref="Z18:Z19"/>
    <mergeCell ref="Z20:Z21"/>
    <mergeCell ref="Z22:Z23"/>
    <mergeCell ref="Z24:Z25"/>
    <mergeCell ref="Z26:Z27"/>
    <mergeCell ref="L29:M29"/>
  </mergeCells>
  <phoneticPr fontId="1" type="noConversion"/>
  <conditionalFormatting sqref="AO4:AO15">
    <cfRule type="top10" dxfId="7" priority="24" bottom="1" rank="1"/>
    <cfRule type="top10" dxfId="6" priority="25" rank="1"/>
  </conditionalFormatting>
  <conditionalFormatting sqref="AH4:AH15">
    <cfRule type="top10" dxfId="5" priority="22" bottom="1" rank="1"/>
    <cfRule type="top10" dxfId="4" priority="23" rank="1"/>
  </conditionalFormatting>
  <conditionalFormatting sqref="AP4:AP15">
    <cfRule type="top10" dxfId="3" priority="20" bottom="1" rank="1"/>
    <cfRule type="top10" dxfId="2" priority="21" rank="1"/>
  </conditionalFormatting>
  <conditionalFormatting sqref="AQ4:AQ15">
    <cfRule type="top10" dxfId="1" priority="18" bottom="1" rank="1"/>
    <cfRule type="top10" dxfId="0" priority="19" rank="1"/>
  </conditionalFormatting>
  <conditionalFormatting sqref="AR4:AR15">
    <cfRule type="dataBar" priority="1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{1BFBFCC1-A9CC-4162-81AE-EE1865089DD4}</x14:id>
        </ext>
      </extLst>
    </cfRule>
  </conditionalFormatting>
  <conditionalFormatting sqref="AS4:AS15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{3469F1F6-ECB7-4A74-BC0A-809582D27807}</x14:id>
        </ext>
      </extLst>
    </cfRule>
  </conditionalFormatting>
  <conditionalFormatting sqref="AD4:AD15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{A51ADB91-9452-4CEC-9D13-D78CF38F5AA6}</x14:id>
        </ext>
      </extLst>
    </cfRule>
  </conditionalFormatting>
  <conditionalFormatting sqref="AE4:AE15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{74010C6A-ED92-4EFE-9826-97B48BDA0280}</x14:id>
        </ext>
      </extLst>
    </cfRule>
  </conditionalFormatting>
  <conditionalFormatting sqref="AF4:AF15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{EF12D54B-29EF-48DF-A135-3A2B586C17EA}</x14:id>
        </ext>
      </extLst>
    </cfRule>
  </conditionalFormatting>
  <conditionalFormatting sqref="AG4:AG15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{635BB274-1570-44BB-8073-B01F83AA8283}</x14:id>
        </ext>
      </extLst>
    </cfRule>
  </conditionalFormatting>
  <conditionalFormatting sqref="AT4:AT15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{DB88105B-18EA-4AF8-BD9F-7A6D84554D65}</x14:id>
        </ext>
      </extLst>
    </cfRule>
  </conditionalFormatting>
  <conditionalFormatting sqref="AU4:AU15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{79D7A276-0561-4AB4-8E3E-2DC0EE866475}</x14:id>
        </ext>
      </extLst>
    </cfRule>
  </conditionalFormatting>
  <conditionalFormatting sqref="AK4:AK15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{0D3D2BBF-4359-4D5C-9E1C-80D238A08064}</x14:id>
        </ext>
      </extLst>
    </cfRule>
  </conditionalFormatting>
  <conditionalFormatting sqref="AN4:AN15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{9735CF5F-0BD6-4768-9297-6E64230C41B3}</x14:id>
        </ext>
      </extLst>
    </cfRule>
  </conditionalFormatting>
  <conditionalFormatting sqref="AB1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BFBFCC1-A9CC-4162-81AE-EE1865089DD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AR4:AR15</xm:sqref>
        </x14:conditionalFormatting>
        <x14:conditionalFormatting xmlns:xm="http://schemas.microsoft.com/office/excel/2006/main">
          <x14:cfRule type="dataBar" id="{3469F1F6-ECB7-4A74-BC0A-809582D2780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AS4:AS15</xm:sqref>
        </x14:conditionalFormatting>
        <x14:conditionalFormatting xmlns:xm="http://schemas.microsoft.com/office/excel/2006/main">
          <x14:cfRule type="dataBar" id="{A51ADB91-9452-4CEC-9D13-D78CF38F5AA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AD4:AD15</xm:sqref>
        </x14:conditionalFormatting>
        <x14:conditionalFormatting xmlns:xm="http://schemas.microsoft.com/office/excel/2006/main">
          <x14:cfRule type="dataBar" id="{74010C6A-ED92-4EFE-9826-97B48BDA028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AE4:AE15</xm:sqref>
        </x14:conditionalFormatting>
        <x14:conditionalFormatting xmlns:xm="http://schemas.microsoft.com/office/excel/2006/main">
          <x14:cfRule type="dataBar" id="{EF12D54B-29EF-48DF-A135-3A2B586C17E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AF4:AF15</xm:sqref>
        </x14:conditionalFormatting>
        <x14:conditionalFormatting xmlns:xm="http://schemas.microsoft.com/office/excel/2006/main">
          <x14:cfRule type="dataBar" id="{635BB274-1570-44BB-8073-B01F83AA828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AG4:AG15</xm:sqref>
        </x14:conditionalFormatting>
        <x14:conditionalFormatting xmlns:xm="http://schemas.microsoft.com/office/excel/2006/main">
          <x14:cfRule type="dataBar" id="{DB88105B-18EA-4AF8-BD9F-7A6D84554D6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AT4:AT15</xm:sqref>
        </x14:conditionalFormatting>
        <x14:conditionalFormatting xmlns:xm="http://schemas.microsoft.com/office/excel/2006/main">
          <x14:cfRule type="dataBar" id="{79D7A276-0561-4AB4-8E3E-2DC0EE86647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AU4:AU15</xm:sqref>
        </x14:conditionalFormatting>
        <x14:conditionalFormatting xmlns:xm="http://schemas.microsoft.com/office/excel/2006/main">
          <x14:cfRule type="dataBar" id="{0D3D2BBF-4359-4D5C-9E1C-80D238A0806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AK4:AK15</xm:sqref>
        </x14:conditionalFormatting>
        <x14:conditionalFormatting xmlns:xm="http://schemas.microsoft.com/office/excel/2006/main">
          <x14:cfRule type="dataBar" id="{9735CF5F-0BD6-4768-9297-6E64230C41B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AN4:AN15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xr2:uid="{87C0FBF3-FAD2-41C3-8463-A214BBE98BE7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单品种多月价差!AD4:AD15</xm:f>
              <xm:sqref>AD1</xm:sqref>
            </x14:sparkline>
          </x14:sparklines>
        </x14:sparklineGroup>
        <x14:sparklineGroup manualMax="0" manualMin="0" type="column" displayEmptyCellsAs="gap" xr2:uid="{2583E5AC-FA6B-4F75-8C40-EEBAFFE1E824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单品种多月价差!AK3:AK15</xm:f>
              <xm:sqref>AK1</xm:sqref>
            </x14:sparkline>
          </x14:sparklines>
        </x14:sparklineGroup>
        <x14:sparklineGroup manualMax="0" manualMin="0" displayEmptyCellsAs="gap" xr2:uid="{C6BAD4F8-9276-4DE2-9787-B921FFBF8990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单品种多月价差!AM3:AM15</xm:f>
              <xm:sqref>AM1</xm:sqref>
            </x14:sparkline>
          </x14:sparklines>
        </x14:sparklineGroup>
        <x14:sparklineGroup manualMax="0" manualMin="0" type="column" displayEmptyCellsAs="gap" xr2:uid="{1FFDCE43-D5CF-4276-8833-E998D6CA779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单品种多月价差!AN3:AN15</xm:f>
              <xm:sqref>AN1</xm:sqref>
            </x14:sparkline>
          </x14:sparklines>
        </x14:sparklineGroup>
        <x14:sparklineGroup manualMax="0" manualMin="0" displayEmptyCellsAs="gap" xr2:uid="{47B025EB-6AE7-4D07-9971-F56B62F25B1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单品种多月价差!AL3:AL15</xm:f>
              <xm:sqref>AL1</xm:sqref>
            </x14:sparkline>
          </x14:sparklines>
        </x14:sparklineGroup>
        <x14:sparklineGroup manualMax="0" manualMin="0" type="column" displayEmptyCellsAs="gap" xr2:uid="{F13BA3C1-4ED0-486F-831F-1EBB822D2914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单品种多月价差!AT4:AT15</xm:f>
              <xm:sqref>AT1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单品种多月价差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彭于晏</dc:creator>
  <cp:lastModifiedBy>InfiniTrader</cp:lastModifiedBy>
  <dcterms:created xsi:type="dcterms:W3CDTF">2022-07-27T02:18:17Z</dcterms:created>
  <dcterms:modified xsi:type="dcterms:W3CDTF">2023-05-11T02:24:06Z</dcterms:modified>
</cp:coreProperties>
</file>